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26" yWindow="65431" windowWidth="14805" windowHeight="8250" activeTab="0"/>
  </bookViews>
  <sheets>
    <sheet name="proracun.pror_izpis01" sheetId="1" r:id="rId1"/>
  </sheets>
  <definedNames/>
  <calcPr fullCalcOnLoad="1"/>
</workbook>
</file>

<file path=xl/sharedStrings.xml><?xml version="1.0" encoding="utf-8"?>
<sst xmlns="http://schemas.openxmlformats.org/spreadsheetml/2006/main" count="7501" uniqueCount="522">
  <si>
    <t>NI: Načrt informatizacije za leto 2008</t>
  </si>
  <si>
    <t>Čas izpisa: 18.12.2009 11:05:50</t>
  </si>
  <si>
    <t>Izbor parametrov: 18.09.2007</t>
  </si>
  <si>
    <t>Proračunska postavka</t>
  </si>
  <si>
    <t>Podkonto</t>
  </si>
  <si>
    <t>Element</t>
  </si>
  <si>
    <t>Namen porabe</t>
  </si>
  <si>
    <t>Količina</t>
  </si>
  <si>
    <t>Cena enote (EUR)</t>
  </si>
  <si>
    <t>Vrednost (EUR)</t>
  </si>
  <si>
    <t>Opomba</t>
  </si>
  <si>
    <t>Materialni stroški pisarne bivšega predsednika Republike Slovenije</t>
  </si>
  <si>
    <t>Tekoče vzdrževanje komunikacijske opreme</t>
  </si>
  <si>
    <t>Vzdrževanje aplikativnih informacijskih sistemov</t>
  </si>
  <si>
    <t>Vzdrževanje programske opreme</t>
  </si>
  <si>
    <t>Tekoče vzdrževanje strojne računalniške opreme</t>
  </si>
  <si>
    <t>Vzdrževanje in podpora delovnih postaj</t>
  </si>
  <si>
    <t>Vzdrževanje in podpora</t>
  </si>
  <si>
    <t>Investicije in investicijsko vzdrževanje pisarne bivšega predsednika Republike Slovenije</t>
  </si>
  <si>
    <t>Nakup strojne računalniške opreme</t>
  </si>
  <si>
    <t>Standardni osebni računalnik</t>
  </si>
  <si>
    <t>Osebni računalniki</t>
  </si>
  <si>
    <t>LCD zaslon 19"</t>
  </si>
  <si>
    <t>Računalniški zasloni</t>
  </si>
  <si>
    <t>Nakup druge (nelicenčne) programske opreme</t>
  </si>
  <si>
    <t>Ostalo</t>
  </si>
  <si>
    <t>vzdrževanje licenc</t>
  </si>
  <si>
    <t>Investicije in investicijsko vzdrževanje državnih organov</t>
  </si>
  <si>
    <t>Zmogljivejši osebni računalnik</t>
  </si>
  <si>
    <t>Standardni prenosni računalnik</t>
  </si>
  <si>
    <t>Prenosni računalniki</t>
  </si>
  <si>
    <t>Laserski tiskalniki</t>
  </si>
  <si>
    <t>Tiskalniška oprema</t>
  </si>
  <si>
    <t>Multifunkcijske naprave</t>
  </si>
  <si>
    <t>Nakup telekomunikacijske opreme</t>
  </si>
  <si>
    <t>Oprema za podporo večpredstavnosti</t>
  </si>
  <si>
    <t>Nakup aktivne mrežne in komunikacijske opreme</t>
  </si>
  <si>
    <t>Izgradnja LAN omrežja</t>
  </si>
  <si>
    <t>Aktivna mrežna oprema</t>
  </si>
  <si>
    <t>Nakup pasivne mrežne in komunikacijske opreme</t>
  </si>
  <si>
    <t>Materialni stroški</t>
  </si>
  <si>
    <t>Računalniške storitve</t>
  </si>
  <si>
    <t>Storitve zavarovanja informacijske in komunikacijske opreme</t>
  </si>
  <si>
    <t>Ostale storitve in oprema</t>
  </si>
  <si>
    <t>Vzdrževanje in podpora komunikacijskega omrežja</t>
  </si>
  <si>
    <t>Tekoče vzdrževanje licenčne programske opreme</t>
  </si>
  <si>
    <t>Vzdrževanje licenčne programske opreme</t>
  </si>
  <si>
    <t>Skupaj (EUR):</t>
  </si>
  <si>
    <t>Ekonomični osebni računalnik</t>
  </si>
  <si>
    <t>novi projekti</t>
  </si>
  <si>
    <t>Vzdrževanje strojne opreme</t>
  </si>
  <si>
    <t>Nakup licenčne programske opreme</t>
  </si>
  <si>
    <t>Nadgradnja  programske opreme</t>
  </si>
  <si>
    <t>Transportna stikalna oprema</t>
  </si>
  <si>
    <t>Storitve informacijske podpore uporabnikom</t>
  </si>
  <si>
    <t>Zunanje izvajanje nalog iz področja pomoči uporabnikom</t>
  </si>
  <si>
    <t>Zunanje izvajanje nalog</t>
  </si>
  <si>
    <t>Investicije in investicijsko vzdrževanje</t>
  </si>
  <si>
    <t>Zmogljivejši prenosni računalnik</t>
  </si>
  <si>
    <t>LCD zaslon 17"</t>
  </si>
  <si>
    <t>Nakup strežnikov in diskovnih sistemov</t>
  </si>
  <si>
    <t>Dvoprocesorski dvojedrni strežnik</t>
  </si>
  <si>
    <t>Visoko zmogljivi in razpoložljivi eno- ali več procesorski strežniki,  ter delovne postaje posebnega pomena</t>
  </si>
  <si>
    <t>skupaj z namestitvijo</t>
  </si>
  <si>
    <t>Modemi</t>
  </si>
  <si>
    <t>mobitel</t>
  </si>
  <si>
    <t>mobi</t>
  </si>
  <si>
    <t>Novell za strežnik</t>
  </si>
  <si>
    <t>Sredstva kupnine od prodaje državnega premoženja</t>
  </si>
  <si>
    <t>Nadzorni sistemi</t>
  </si>
  <si>
    <t>Nadgradnja programske opreme</t>
  </si>
  <si>
    <t>Usmerjevalniki</t>
  </si>
  <si>
    <t>LCD zaslon 202</t>
  </si>
  <si>
    <t>Optični čitalnik  A4 s podajalcem</t>
  </si>
  <si>
    <t>Optični čitalniki</t>
  </si>
  <si>
    <t>Preklopniki in konzole vseh vrst</t>
  </si>
  <si>
    <t>Periferna računalniška oprema</t>
  </si>
  <si>
    <t>Digitalni fotoaparati</t>
  </si>
  <si>
    <t>Ročni računalniki</t>
  </si>
  <si>
    <t>mobilni telefon razred 1</t>
  </si>
  <si>
    <t>mobilni telefon razred 2</t>
  </si>
  <si>
    <t>mobilni telefon razred 3</t>
  </si>
  <si>
    <t>Vzdrževanje licenčne programske opreme s pravico do popravkov, varnostnih popravkov, nadgradenj in novih verzij</t>
  </si>
  <si>
    <t>Sistem varovanja</t>
  </si>
  <si>
    <t>EU - portal in e - seje vlade</t>
  </si>
  <si>
    <t>Tekoče vzdrževanje druge (nelicenčne) programske opreme</t>
  </si>
  <si>
    <t>Dopolnjevanje informacijskih aplikativnih sistemov</t>
  </si>
  <si>
    <t>Večprocesorski večjedrni strežnik</t>
  </si>
  <si>
    <t>Vzdrževanje in podpora mrežnih storitev</t>
  </si>
  <si>
    <t>Prezentacijska oprema</t>
  </si>
  <si>
    <t>Strežniki in strežniški sistemi</t>
  </si>
  <si>
    <t>Najem programske računalniške opreme</t>
  </si>
  <si>
    <t>IUS-INFO</t>
  </si>
  <si>
    <t>Prenosni video prikazovalniki</t>
  </si>
  <si>
    <t>Ostala strojna računalniška oprema</t>
  </si>
  <si>
    <t>nakup</t>
  </si>
  <si>
    <t>Vzdrževanje in podpora informacijskih sistemov</t>
  </si>
  <si>
    <t>Najem strojne računalniške opreme</t>
  </si>
  <si>
    <t>Izdatki za izobraževanje zaposlenih z informacijskega področja</t>
  </si>
  <si>
    <t>Izobraževanje (na daljavo, uporabnikov, specialistično)</t>
  </si>
  <si>
    <t>Neposredno komuniciranje vlade z javnostjo in vladne informacijske kampanje</t>
  </si>
  <si>
    <t>Zunanje izvajanje storitev</t>
  </si>
  <si>
    <t>vzdrževanje spletnih mesta, za katere je zadolžen Urad in računalniških baz za evrofon</t>
  </si>
  <si>
    <t>delovne postaje - standardne</t>
  </si>
  <si>
    <t>zasloni LCD 19'</t>
  </si>
  <si>
    <t>mrežni tiskalik</t>
  </si>
  <si>
    <t>pogarancijsko vzdrževanje opreme</t>
  </si>
  <si>
    <t>vzdrževanje komunikacijske opreme - Advant</t>
  </si>
  <si>
    <t>pogarancijsko vzdrževanje</t>
  </si>
  <si>
    <t>Tekoče vzdrževanje operativnega informacijskega okolja</t>
  </si>
  <si>
    <t>Promocija Slovenije</t>
  </si>
  <si>
    <t>postavitev in vzdrževanje spletnega mesta</t>
  </si>
  <si>
    <t>Publikacije in prevodi</t>
  </si>
  <si>
    <t>Optični čitalnik  A4</t>
  </si>
  <si>
    <t xml:space="preserve">L2/L3/L4 Stikalna oprema </t>
  </si>
  <si>
    <t>Programska in strojna oprema nadzornega sistema požarne pregrade</t>
  </si>
  <si>
    <t>Požarne pregrade</t>
  </si>
  <si>
    <t>Sistem SAN nad 2 TB</t>
  </si>
  <si>
    <t>Sistemi za shranjevanje podatkov</t>
  </si>
  <si>
    <t>Nadgradnja za UPS</t>
  </si>
  <si>
    <t>Sistemi za neprekinjeno napajanje</t>
  </si>
  <si>
    <t>Vzdrževanje operacijskih sistemov</t>
  </si>
  <si>
    <t>Analize, študije in načrti z informacijskega področja</t>
  </si>
  <si>
    <t>Analiza zahtev za arhitekturo informacijskega sistema</t>
  </si>
  <si>
    <t>Analiza, načrtovanje in dokumentiranje</t>
  </si>
  <si>
    <t>Vzdrževanje kritičnih aplikativnih sistemov</t>
  </si>
  <si>
    <t>Zunanje izvajanje storitev na področju sistemske administracije</t>
  </si>
  <si>
    <t>Vzdrževanje in podpora aktivne mrežne opreme</t>
  </si>
  <si>
    <t>Popis prebivalstva</t>
  </si>
  <si>
    <t>Sistem demografskih statistik</t>
  </si>
  <si>
    <t>Redne letne raziskave - ankete</t>
  </si>
  <si>
    <t>Razvojne naloge</t>
  </si>
  <si>
    <t>TF CFCU - Integracijski informacijski sistem</t>
  </si>
  <si>
    <t>Razvoj IS</t>
  </si>
  <si>
    <t>Razvoj in implementacija</t>
  </si>
  <si>
    <t>Prehodni vir - slovenska soudeležba</t>
  </si>
  <si>
    <t>RAS strežnik nad 100 uporabnikov</t>
  </si>
  <si>
    <t>Strežniki oddaljenega dostopa</t>
  </si>
  <si>
    <t>Laserski mrežni tisklanik</t>
  </si>
  <si>
    <t>podatkovne kartice</t>
  </si>
  <si>
    <t>mobilni telefon</t>
  </si>
  <si>
    <t>Podpora (CPU)</t>
  </si>
  <si>
    <t>Pasivna mrežna oprema</t>
  </si>
  <si>
    <t>Strežniki</t>
  </si>
  <si>
    <t>Strežnik baziran na strežniških rezinah</t>
  </si>
  <si>
    <t>Čitalnik vrstne (angl:"bar") kode</t>
  </si>
  <si>
    <t>Periferna oprema, eno ali več procesorskih strežnikov ter delovnih postaj posebnega pomena</t>
  </si>
  <si>
    <t>Nadzorni sistem za strežnike in delovne postaje</t>
  </si>
  <si>
    <t>Nadgradnja informacijskega sistema na novo verzijo aplikacijskega ali operacijskega sistema ali sistema za upravljanje z zbirko podatkov</t>
  </si>
  <si>
    <t>Podlage in analize ekonomske in razvojne politike</t>
  </si>
  <si>
    <t>Projekti za zagotovitev prometne varnosti</t>
  </si>
  <si>
    <t>Analiza informacijskega sistema s stališča informacijske varnosti</t>
  </si>
  <si>
    <t>Sistemi in enote za varnostno shranjevanje podatkov</t>
  </si>
  <si>
    <t>Vzdrževanje in razvoj sistema ISARR</t>
  </si>
  <si>
    <t>Podpora aplikativnemu okolje</t>
  </si>
  <si>
    <t>Izvajanje uporabniškega izobraževanja</t>
  </si>
  <si>
    <t>Teritorialno sodelovanje - 07-13 - EU</t>
  </si>
  <si>
    <t>Brizgalni tiskalniki</t>
  </si>
  <si>
    <t>Digitalna kamera</t>
  </si>
  <si>
    <t>Teritorialno sodelovanje - 07-13 - slovenska udeležba</t>
  </si>
  <si>
    <t>Tehnična pomoč - 07-13 - Kohezijski sklad - EU</t>
  </si>
  <si>
    <t>Tehnična pomoč - 07-13 - Kohezijski sklad - slovenska udeležba</t>
  </si>
  <si>
    <t>Nakup drugih osnovnih sredstev</t>
  </si>
  <si>
    <t xml:space="preserve">Pocket PC </t>
  </si>
  <si>
    <t>LCD zaslon 23"</t>
  </si>
  <si>
    <t>Večprocesorski strežnik z več kanalnimi vmesniki za periferne naprave</t>
  </si>
  <si>
    <t>Sistem SAN do 2 TB</t>
  </si>
  <si>
    <t>razni faksi in večfunkcijska oprema</t>
  </si>
  <si>
    <t>Župančičeva 3</t>
  </si>
  <si>
    <t>Investicijski del dopolnitev MFERAC modulov</t>
  </si>
  <si>
    <t>Tekoče vzdrževanje informacijskega sistema MF</t>
  </si>
  <si>
    <t>Strošek storitve uporabe klicnega centra</t>
  </si>
  <si>
    <t>Klicni center, center za podporo uporabnikom angl: "help desk"; Kontaktni center</t>
  </si>
  <si>
    <t>Vzdrževanje in preizkus naprav za klimatizacijo</t>
  </si>
  <si>
    <t>Vzdrževanje modulov MFERAC (proračun, kadrovska evidenca, stroški dela, glavna knjiga s saldakonti, obresti, krediti, osnovna sredstva)</t>
  </si>
  <si>
    <t>Vzdrževanje licenčnih aplikativnih informacijskih sistemov</t>
  </si>
  <si>
    <t>obračuni, množično tiskanje obvesti</t>
  </si>
  <si>
    <t>Naročnina na finančne podatkovne zbirke (Reuters in Bloomberg);  (v NRP imamo podkonto 402699)</t>
  </si>
  <si>
    <t>Najem komunikacijske opreme in podatkovnih vodov</t>
  </si>
  <si>
    <t>Najem komunikacijskih vodov (v NRP imamo podkonto 402699)</t>
  </si>
  <si>
    <t>Implementacija IS</t>
  </si>
  <si>
    <t>Nakup računalnikov</t>
  </si>
  <si>
    <t>Strežniki in diskovni sistemi za eDIS</t>
  </si>
  <si>
    <t>Načrtovanje izvedbe informacijskega sistema</t>
  </si>
  <si>
    <t>Analize, študije in načrti s področja projektov IT.</t>
  </si>
  <si>
    <t>Zunanje izvajanje storitev na področju upravljanja,</t>
  </si>
  <si>
    <t>Računalniške storitve, storitve tiskanja, založniške storitve, strokovna literatura in drug splošni material in storitve</t>
  </si>
  <si>
    <t>Informacijska podpora uporabnikom</t>
  </si>
  <si>
    <t>Vzdrževanje, podpora in upravljanje komunikacijskega omrežja</t>
  </si>
  <si>
    <t>vzdrževanje komunikacijske opreme</t>
  </si>
  <si>
    <t>Vzdrževanje programske opreme s pravico do popravkov, varnostnih popravkov, nadgradenj in novih verzij</t>
  </si>
  <si>
    <t>Tekoče vzdrževanje programske opreme</t>
  </si>
  <si>
    <t>Izvajanje strokovnega izobraževanja</t>
  </si>
  <si>
    <t>Storitve izobraževanja za potrebe eDIS</t>
  </si>
  <si>
    <t xml:space="preserve">
</t>
  </si>
  <si>
    <t>Enoprocesorski enojedrni strežnik</t>
  </si>
  <si>
    <t>Dvoprocesorski enojedrni strežnik</t>
  </si>
  <si>
    <t>Mobiteli</t>
  </si>
  <si>
    <t>Ožičenje optično</t>
  </si>
  <si>
    <t>Razdelilne omare</t>
  </si>
  <si>
    <t>Informacijski terminali</t>
  </si>
  <si>
    <t>Usmerjevalnik večfunkcijski</t>
  </si>
  <si>
    <t>Zunanje izvajanje nalog iz področja operaterskih nalog</t>
  </si>
  <si>
    <t>vzdrževanje registrov UNZ (dodatna sredstva  v višini 382.000 EUR)</t>
  </si>
  <si>
    <t>Vzdrževanje licenčne programske opreme s pravico do popravkov, varnostnih popravkov in nadgradenj</t>
  </si>
  <si>
    <t>sas - statistike za UNZ, nadgradnja programske opreme IBM in licenčnina</t>
  </si>
  <si>
    <t>Štiriprocesorski dvojedrni strežnik</t>
  </si>
  <si>
    <t>Ožičenje</t>
  </si>
  <si>
    <t>REGISTRI DUNZ IN VARNOSTNA SHEMA ISUNZ</t>
  </si>
  <si>
    <t>dodatna sredstva (1711-05-0005 prenova registra orožnih listin)</t>
  </si>
  <si>
    <t>RAZVOJ POSTOPKOVNIH ZBIRK</t>
  </si>
  <si>
    <t>D171412</t>
  </si>
  <si>
    <t>Investicije in investicijsko vzdrževanje policije</t>
  </si>
  <si>
    <t>Optični čitalnik &lt; A4</t>
  </si>
  <si>
    <t>Datotečni strežniki</t>
  </si>
  <si>
    <t>Prehrana - gostinske storitve</t>
  </si>
  <si>
    <t>Schengen - objekti in oprema</t>
  </si>
  <si>
    <t>Sklad za meje - 07-13 - EU</t>
  </si>
  <si>
    <t>Sklad za meje - 07-13 - slovenska udeležba</t>
  </si>
  <si>
    <t>vzdževanje aplikacije za mandatne kazni</t>
  </si>
  <si>
    <t>Informatizacija</t>
  </si>
  <si>
    <t>Priprava strokovne tehnične dokumentacije</t>
  </si>
  <si>
    <t>Razpis</t>
  </si>
  <si>
    <t>Zunanje izvajanje nalog iz področja izgradnje</t>
  </si>
  <si>
    <t>Zunanje izvajanje nalog iz področja komunikacij</t>
  </si>
  <si>
    <t>UPS do 5 KVA</t>
  </si>
  <si>
    <t>Sistem baziran na biometriiji</t>
  </si>
  <si>
    <t>Avtentikacijski sistemi</t>
  </si>
  <si>
    <t>Satelitska terminalna oprema</t>
  </si>
  <si>
    <t>Komunikacijska oprema za satelitski prenos</t>
  </si>
  <si>
    <t>Nadgradnja strežnika oddaljenega dostopa</t>
  </si>
  <si>
    <t>Izdelava projektne naloge</t>
  </si>
  <si>
    <t>Strokovni nadzor nad izgradnjo LAN</t>
  </si>
  <si>
    <t>Nadzor</t>
  </si>
  <si>
    <t>Sredstva za operativno delovanje</t>
  </si>
  <si>
    <t xml:space="preserve">PDA </t>
  </si>
  <si>
    <t>Aplikativni strežniki</t>
  </si>
  <si>
    <t>Požarni sklad</t>
  </si>
  <si>
    <t>Izpostave URSZR</t>
  </si>
  <si>
    <t>Vzdrževanje in podpora naprav za neprekinjeno napajanje</t>
  </si>
  <si>
    <t>Usposabljanje in izobraževanje</t>
  </si>
  <si>
    <t>Delovanje Izobraževalnega centra za zaščito in reševanje</t>
  </si>
  <si>
    <t>Oprema za redno dejavnost</t>
  </si>
  <si>
    <t>Kriptografski elementi</t>
  </si>
  <si>
    <t>D201110</t>
  </si>
  <si>
    <t>Nova PP: Izobraževanje v pravosodju - 07-13-EU udeležba</t>
  </si>
  <si>
    <t>D201112</t>
  </si>
  <si>
    <t>Nova PP: Modernizacija pravosodnega sistema - e-pravosodje-07-13-EU udeležba</t>
  </si>
  <si>
    <t>D201113</t>
  </si>
  <si>
    <t>Nova PP: Modernizacija pravosodnega sistema - e-pravosodje-07-13-slovenska udeležba</t>
  </si>
  <si>
    <t>D201114</t>
  </si>
  <si>
    <t>Nova PP: Mednarodna kazenska evidenca - 07-13-EU udeležba</t>
  </si>
  <si>
    <t>Testiranje IS</t>
  </si>
  <si>
    <t>D201115</t>
  </si>
  <si>
    <t>Nova PP: Mednarodna kazenska evidenca - 07-13-slov. udeležba</t>
  </si>
  <si>
    <t>Študije in analize</t>
  </si>
  <si>
    <t>Investicije in investicijsko vzdrževanje zgradb pravosodnih organov</t>
  </si>
  <si>
    <t>Vzdrževanje in podpora programske opreme</t>
  </si>
  <si>
    <t>Vzdrževanje in podpora strojne opreme</t>
  </si>
  <si>
    <t>Nakup strežnikov</t>
  </si>
  <si>
    <t>Investicije in investicijsko vzdrževanje državnih organov (v Ministrstvu za pravosodje)</t>
  </si>
  <si>
    <t>Vzdrževanje in podpora pasivne mrežne opreme</t>
  </si>
  <si>
    <t>mobilni telefoni</t>
  </si>
  <si>
    <t>Analiza uporabniških zahtev</t>
  </si>
  <si>
    <t>Dokumentacija</t>
  </si>
  <si>
    <t>Vzdrževanje programske opreme s pravico do popravkov, varnostnih popravkov in nadgradenj</t>
  </si>
  <si>
    <t>Zmanjševanje sodnih zaostankov na področju izvršbe - prehodni vir -  lastna udeležba</t>
  </si>
  <si>
    <t>Sistem za celovito upravljanje in izvajanje večnivojske podpore uporabnikov</t>
  </si>
  <si>
    <t>- osnovno in dopolnilno vzdrževanje IS za spremljanje izvršilnih postopkov I-vpisnik na srednjem nivoju in klientu, vključno z nadgradnjo za potrebe poslovanja CoVL (VL vpisnik)
- vzdrževanje sistema za elektronsko vlaganje izvršilnih predlogov in sistema</t>
  </si>
  <si>
    <t>upgrade protection</t>
  </si>
  <si>
    <t>izgradnja pasivne kabelske infrastrukture (LAN) za potrebe izvršilnih sodišč</t>
  </si>
  <si>
    <t>nakup ustrezne namenske programske opreme za podporo delovanja centralnega informacijskega sistema</t>
  </si>
  <si>
    <t>Informatizacija sodišč</t>
  </si>
  <si>
    <t>- tečaji s področja uporabe standardnih namenskih programskih orodij (e-pošta, brskalnik, pisarniška programska oprema) v okviru projekta EPO (enotno pisarniško okolje)
- uvajanje uporabnikov za samostojno uporabo lastnih programskih aplikacij (informatiz</t>
  </si>
  <si>
    <t>402510: storitve na področju LAN in EPO (enotno pisarniško okolje):
-migracije - namestitev in priprava novih strežnikov
- antivirusna zaščita
- varnostno + arhivsko kopiranje podatkov
-načrtovanje + nadzor nad izgradnjo LAN</t>
  </si>
  <si>
    <t>Vzdrževanje lastnih informacijskih sistemov (IS) za spremljanje sodnih postopkov in vodenje sodnega registra in zemljiške knjige ter pravnoinformacijskega sistema:
-EZK (elektronska zemljiška knjiga)
-PUND (osrednji IS za spremljanje civilnih postopkov)
-IS sodišč za prekrške (Prs)
- SRG, Su  
- IUS-INFO</t>
  </si>
  <si>
    <t>402513: vzdrževanje in podpora programskih paketov:
- ORACLE (več produktov)
- BEA (več produktov)
- AV studio
- Novell</t>
  </si>
  <si>
    <t>izvengarancijsko in pograncijsko vzdrževanje računalniške strojne opreme (osebni računalniki, namizni tisklaniki, večuporabniški mrežni tiskalniki)</t>
  </si>
  <si>
    <t>osebni namizni računalniki + 17˝LCD zasloni</t>
  </si>
  <si>
    <t>mrežni laserski tiskalniki</t>
  </si>
  <si>
    <t>krajevni (LAN) strežniki</t>
  </si>
  <si>
    <t>-centralna večslojna stikala - 3 kos
-pristopna stikala + transceiverji za pristopna stikala - 40 kos + 60 kos
- UTP/FO pretvorniki - 30 kos</t>
  </si>
  <si>
    <t>UPS do 16 KVA</t>
  </si>
  <si>
    <t>-oceno sredstev je mogoče podati le na letnem nivoju glede na izvedene izgradnje/nadgradnje v lanskem in letošnjem letu (združevanje lokacij, nove lokacije zaradi zaposlitev iz naslova projekta Lukenda,...)</t>
  </si>
  <si>
    <t>nakup nove namenske programske opreme za podporo centralnih aplikaci, zaščito pred izgubo podatkov, varno, zanesljivo in nemoteno delovanja centralnega produkcijskega okolja (CPO): Novell, Oracle, Tamino</t>
  </si>
  <si>
    <t>nadgradnja obstoječih informacijskih sistemov za spremljanje sodnih postopkov in vodenje registrov z novimi funkcionalnostmi za poenostavitev poslovanja in vzpostavitev elektronskega poslovanja na sodiščih</t>
  </si>
  <si>
    <t>Izgradnja informacijskega sistema za podporo poslovnim procesom na preiskovalnih in kazenskih oddelkih sodišč - K-vpisnik na vseh teh nivojih, vključno s testiranjem in uvajanjem na končne lokacije</t>
  </si>
  <si>
    <t>Prenosni računalnik.</t>
  </si>
  <si>
    <t>Tiskalnik za prenosnik</t>
  </si>
  <si>
    <t>Barni mrežni laserski tisklanik.</t>
  </si>
  <si>
    <t>OKŽ in OJS Celje (tel.. fax., mob. tel.) po planih sodišč.</t>
  </si>
  <si>
    <t>Dodatna licenca za finančnika II.</t>
  </si>
  <si>
    <t>Po pogodbi z Grad d.d. za vzdrževanje programa sodišča je veljavna cena 324 EUR na mesec. Upoštevali smo eno dodatno licenco (nova zaposlitev finančnik II) in 10 ur  za morebitne dopolnitve aplikacije ter 2,7% usladitev zaradi inflacije. 
 V začetku leta 2007 so potekali postopki za sklenitev nove pogodbe, a nismo dosegli soglasja. Upoštevali smo ceno iz veljavne pogodbe (50 EURX5ur=250EUR) ter po 5EUR za vsako dodatno licenco. Imeli jih bomo 5 (obstoječe 4 in ena nova).</t>
  </si>
  <si>
    <t>Izobraževanje sodnikov in sodnega osebja za uporabo IT.</t>
  </si>
  <si>
    <t>strojna računalniška oprema
mobiteli
licence</t>
  </si>
  <si>
    <t>Izdelav izobraževalnih programov</t>
  </si>
  <si>
    <t>Videokonferenčna oprema</t>
  </si>
  <si>
    <t>Posebni tiskalniki</t>
  </si>
  <si>
    <t>program za pošto</t>
  </si>
  <si>
    <t>Audiokonferenčna oprema</t>
  </si>
  <si>
    <t>2 komada računskih strojev</t>
  </si>
  <si>
    <t>1 komad prenosni računalnik</t>
  </si>
  <si>
    <t>Gospodarska predstavništva</t>
  </si>
  <si>
    <t>Nadgradnja sistema SAN</t>
  </si>
  <si>
    <t>nakup licenc</t>
  </si>
  <si>
    <t>nakup računalnikov z vso opremo</t>
  </si>
  <si>
    <t>Podpora delovnim mestom</t>
  </si>
  <si>
    <t>Podpora strežniškemu okolje</t>
  </si>
  <si>
    <t>WIPO Madrid - tuja donacija</t>
  </si>
  <si>
    <t>GPS</t>
  </si>
  <si>
    <t>GSM</t>
  </si>
  <si>
    <t>Računalniška oprema</t>
  </si>
  <si>
    <t>Identifikacija in registracija živali</t>
  </si>
  <si>
    <t>Hidromelioracije kmetijskih zemljišč</t>
  </si>
  <si>
    <t>aplikacija KatMeSiNa</t>
  </si>
  <si>
    <t>Univezalni nadzorni sistem</t>
  </si>
  <si>
    <t xml:space="preserve"> V preteklih letih smo v isti zgradbi prevzeli v najem več novih prostorov v različnih nadstropjih. Hkrati pa moramo izboljšati fizično varnost sistemske opreme. Pod opcijo 'Univerzalni nadzorni sistem', ki jo je sistema SAPPRA omogočal, smo v letu 2</t>
  </si>
  <si>
    <t>Evidence in povezava baz podatkov v kmetijstvu</t>
  </si>
  <si>
    <t>Popravila aktivne programske opreme, optimizacije.</t>
  </si>
  <si>
    <t>Vzdrževanje opreme v pogarancijskem obdobju.</t>
  </si>
  <si>
    <t>Zagotavljanje varnosti in uporabnosti sistemskih sob.</t>
  </si>
  <si>
    <t>Mrežni tiskalniki.</t>
  </si>
  <si>
    <t>Drobna oprema delovnega mesta.</t>
  </si>
  <si>
    <t>Sistem diskovni baziran na iSCSI</t>
  </si>
  <si>
    <t>Prenova druge komunikacijske vertikale.</t>
  </si>
  <si>
    <t>Informacijski sistem VURS</t>
  </si>
  <si>
    <t>Certifikati, informatika, obrazci in registri</t>
  </si>
  <si>
    <t>Prenova IS - prenosni računalniki</t>
  </si>
  <si>
    <t>Konzorcij - vzdrževanje sistemske programske opreme</t>
  </si>
  <si>
    <t>Druga računalniška oprema</t>
  </si>
  <si>
    <t>strežnik FURS</t>
  </si>
  <si>
    <t>Enota za arhiviranje podatkov na strežniku.</t>
  </si>
  <si>
    <t>GPS oprema</t>
  </si>
  <si>
    <t>Win terminal server (klient licence)</t>
  </si>
  <si>
    <t>Vzdrževanje aplikacije ISI.</t>
  </si>
  <si>
    <t>licence GPS</t>
  </si>
  <si>
    <t>AIX</t>
  </si>
  <si>
    <t>Novell</t>
  </si>
  <si>
    <t>oracle DBA</t>
  </si>
  <si>
    <t>LTO3, F20, p570</t>
  </si>
  <si>
    <t>aktivna mrežna oprema</t>
  </si>
  <si>
    <t>vsa osebna rač strojna oprema</t>
  </si>
  <si>
    <t>Oracle, TSM</t>
  </si>
  <si>
    <t>Najem opreme po potrebi</t>
  </si>
  <si>
    <t>prenosni tiskalniki</t>
  </si>
  <si>
    <t>strežnik</t>
  </si>
  <si>
    <t>diskovje</t>
  </si>
  <si>
    <t>Montažni (stropni, stenski,...) video prikazovalniki</t>
  </si>
  <si>
    <t>oracle, druga licenčna oprema</t>
  </si>
  <si>
    <t>Fitosanitarni informacijski sistem</t>
  </si>
  <si>
    <t>Nadgradnja  - modul</t>
  </si>
  <si>
    <t>Nakup mobilnih aparatov.</t>
  </si>
  <si>
    <t>Nakup fiksnih telefonov.</t>
  </si>
  <si>
    <t>Nakup telefaksov.</t>
  </si>
  <si>
    <t>Nakup različne programske opreme vključujoč GIS geografski informacijiski sistem), softverska oprema za projektiranje omejitvenih ravnin letališča, digitalizacija letališč, vzpostavitev sistema GIS baze (Direktorat za civilno letalstvo, Kontrola zračnega prometa d.o.o. in MORS).</t>
  </si>
  <si>
    <t>Preiskovalni organ v letalskem prometu</t>
  </si>
  <si>
    <t>Satelitski sprejemnik</t>
  </si>
  <si>
    <t>Grafična programska oprema.</t>
  </si>
  <si>
    <t>Matrični tiskalniki</t>
  </si>
  <si>
    <t>Tračna knjižnica</t>
  </si>
  <si>
    <t>Informacijski kiosk</t>
  </si>
  <si>
    <t>Usmerjevalnik brezžični</t>
  </si>
  <si>
    <t>Oprema za varnost pomorskega prometa</t>
  </si>
  <si>
    <t>Izdelava projekta za izvedbo</t>
  </si>
  <si>
    <t>Materialni stroški za pomorski promet</t>
  </si>
  <si>
    <t>Nakup opreme - sredstva odškodnine</t>
  </si>
  <si>
    <t>Osnovna sredstva - sredstva od prodaje državnega premoženja</t>
  </si>
  <si>
    <t>Upravljanje in varstvo cest</t>
  </si>
  <si>
    <t>Strojna in programska oprema za posredovanje večpredstavnostni h vsebin</t>
  </si>
  <si>
    <t>Strojna in programska oprema za upravljanje z večpredstavnostnimi vsebinami</t>
  </si>
  <si>
    <t>Najem licenčne programske opreme</t>
  </si>
  <si>
    <t>Nakup skenerja</t>
  </si>
  <si>
    <t>Nakup mobilnih telefonov</t>
  </si>
  <si>
    <t>Delovanje informacijskega sistema</t>
  </si>
  <si>
    <t>Vzdrževanje ORACLE programske opreme.</t>
  </si>
  <si>
    <t>D251210</t>
  </si>
  <si>
    <t>D251211</t>
  </si>
  <si>
    <t>Geodezija, topografija in kartografija</t>
  </si>
  <si>
    <t>Evidentiranje nepremičnin</t>
  </si>
  <si>
    <t>Posredovanje podatkov</t>
  </si>
  <si>
    <t>Množično vrednotenje nepremičnin</t>
  </si>
  <si>
    <t>Projekt evidentiranja nepremičnin - sredstva odškodnine</t>
  </si>
  <si>
    <t>nakup strojne računalniške opreme (namizni in prenosni računalniki)</t>
  </si>
  <si>
    <t>GSM telefoni in faksi</t>
  </si>
  <si>
    <t>Meteorološka zaščita letalskega prometa</t>
  </si>
  <si>
    <t>Modem ADSL</t>
  </si>
  <si>
    <t>Informacijski sistem varstva okolja</t>
  </si>
  <si>
    <t>UPS do 100 KVA</t>
  </si>
  <si>
    <t>Seizmološki monitoring</t>
  </si>
  <si>
    <t>NATO SfP - tuja donacija</t>
  </si>
  <si>
    <t>GHGI - tuja donacija</t>
  </si>
  <si>
    <t>Slovensko - ameriški projekt; donacija</t>
  </si>
  <si>
    <t>Računalniška oprema CSD</t>
  </si>
  <si>
    <t>Stroški izvajanja zakona o socialnem varstvu</t>
  </si>
  <si>
    <t>Vzdrževanje in razvoj informacijskih sistemov socialnega varstva in družinskih prejemkov</t>
  </si>
  <si>
    <t>centralni strežnik na MJU</t>
  </si>
  <si>
    <t>Poslovni prostori Zavoda RS za zaposlovanje</t>
  </si>
  <si>
    <t>stacionarni in mobilni telefoni</t>
  </si>
  <si>
    <t>Evropski teden varnosti in zdravja pri delu ter tekmovanje za dobro prakso</t>
  </si>
  <si>
    <t>Izdelava namenskih računalniških aplikacij</t>
  </si>
  <si>
    <t>Vzpostavitev informacijskega sistema za ESS</t>
  </si>
  <si>
    <t>Informacijski sistem na področju varnosti in zdravja pri delu</t>
  </si>
  <si>
    <t>nakup in posodobitev programske opreme</t>
  </si>
  <si>
    <t>Izobraževanje zaposlenih</t>
  </si>
  <si>
    <t>Informatizacija ministrstva</t>
  </si>
  <si>
    <t>Namizni video prikazovalniki</t>
  </si>
  <si>
    <t>Akcijski načrt Bilbao agencije - osnove varnosti in zdravja pri delu</t>
  </si>
  <si>
    <t>Stroški izvajanja zakonov s področja družine</t>
  </si>
  <si>
    <t>Vzdrževanje informacijskega sistema in obdelava podatkov po vojnih zakonih</t>
  </si>
  <si>
    <t>ESS - sredstva Tehnične pomoči za ukrep 4.2.</t>
  </si>
  <si>
    <t>Lastna udeležba - Ukrep 4.2. Tehnična pomoč ESS</t>
  </si>
  <si>
    <t>Kakovost zraka - mednarodne zadolžitve</t>
  </si>
  <si>
    <t>vzdrževanje po pogodbi</t>
  </si>
  <si>
    <t>barvni</t>
  </si>
  <si>
    <t>črno-beli</t>
  </si>
  <si>
    <t>strežnik v skupini za virtualizacijo strežniškega sistema</t>
  </si>
  <si>
    <t>pomnilni podsistem (diskovno polje, vključno s podporno programsko opremo)</t>
  </si>
  <si>
    <t>gsm aparati</t>
  </si>
  <si>
    <t>Microsoft: licence za operativne sisteme, strežniške operativne sisteme, pisarniška orodja,...</t>
  </si>
  <si>
    <t>Aplikacije</t>
  </si>
  <si>
    <t>Komisija za medicinsko etiko</t>
  </si>
  <si>
    <t>študija izvedljivosti in varnosti programa za predajanje vlog on-line</t>
  </si>
  <si>
    <t>vzdrževanje internetne strani</t>
  </si>
  <si>
    <t>Informatika v zdravstvu</t>
  </si>
  <si>
    <t>Zunanje izvajanje nalog iz področja nabav</t>
  </si>
  <si>
    <t>TF - Upravljanje z varno hrano in krmo - lastna udeležba</t>
  </si>
  <si>
    <t>Palm</t>
  </si>
  <si>
    <t>D271310</t>
  </si>
  <si>
    <t>Nakup GSM aparatov</t>
  </si>
  <si>
    <t>Mrežni tiskalnik</t>
  </si>
  <si>
    <t>Streaming strežnik</t>
  </si>
  <si>
    <t>gsm</t>
  </si>
  <si>
    <t>ni pravi konto, ker bi moral biti 420239 - ga ni v šifrantu</t>
  </si>
  <si>
    <t xml:space="preserve">Kemijska varnost III - lastna udeležba </t>
  </si>
  <si>
    <t>ni pravi konto, ker ni na voljo - 420239</t>
  </si>
  <si>
    <t>Projekt GHS-enotno označevanje kemikalij-donacija</t>
  </si>
  <si>
    <t>Projekt GHS-lastna udeležba</t>
  </si>
  <si>
    <t>DVD enote vseh vrst</t>
  </si>
  <si>
    <t>D311110</t>
  </si>
  <si>
    <t>3111-08-0013 - Razvoj in vzpostavitev storitev za prenos govora - Nakup konzolne in servisne opreme</t>
  </si>
  <si>
    <t>3111-08-0013 - Razvoj in vzpostavitev storitev za prenos govora - Nakup strežnikov in diskovnih sistemov za CMGR</t>
  </si>
  <si>
    <t>3111-08-0013 - Razvoj in vzpostavitev storitev za prenos govora - Nakup prehodov in zaključitev za povezave do fiksnega telefonskega omrežja</t>
  </si>
  <si>
    <t>3111-08-0013 - Razvoj in vzpostavitev storitev za prenos govora - Nakup dodatne aktivne mrežne stikalne opreme POE</t>
  </si>
  <si>
    <t>3111-08-0013 - Razvoj in vzpostavitev storitev za prenos govora - Nadgradnja obstoječe aktivne stikalne opreme na POE</t>
  </si>
  <si>
    <t>3111-08-0013 - Razvoj in vzpostavitev storitev za prenos govora - Nakup licenčne programske opreme CMGR</t>
  </si>
  <si>
    <t>IDP</t>
  </si>
  <si>
    <t>Komunikacijska mrežna oprema</t>
  </si>
  <si>
    <t>Požarna pregrada v obliki strojne naprave do 1000 uporabnikov</t>
  </si>
  <si>
    <t>Razvoj ter vzdrževanje in upravljanje skupne informacijske infrastrukture (strežniške in licenčne)</t>
  </si>
  <si>
    <t>1521-01-0A01/4</t>
  </si>
  <si>
    <t>1521-01-0A01/4 - IBM ESSO pogodba o vzdrževanju in zagotavljanju licenčnih produktov LN, Tivoli TSM, Websphere</t>
  </si>
  <si>
    <t>1521-01-0A07</t>
  </si>
  <si>
    <t>1521-01-0B03</t>
  </si>
  <si>
    <t>1521-01-0L01</t>
  </si>
  <si>
    <t>Tračne enote DLT</t>
  </si>
  <si>
    <t>Enote za varnostno shranjevanje podatkov</t>
  </si>
  <si>
    <t>Razvoj ter vzdrževanje in upravljanje  skupne komunikacijske infrastrukture (hrbtenično, pristopno omrežje in storitve)</t>
  </si>
  <si>
    <t>1521-011-0B01 - Storitev najema komunikacijskih povezav VPN/MPLS</t>
  </si>
  <si>
    <t>1521-01-0B04</t>
  </si>
  <si>
    <t>1521-01-0B01</t>
  </si>
  <si>
    <t>Razvoj ter vzdrževanje in upravljanje  obratovalnega okolja skupne infrstrukture</t>
  </si>
  <si>
    <t>3111-06-0005/3</t>
  </si>
  <si>
    <t>Razvoj in vzdrževanje projektov e-uprave</t>
  </si>
  <si>
    <t>Investicije, podpora in vzdrževanje strojne, komunikacijske in licenčne programske opreme, lokalnih računalniških omrežij UE in DO</t>
  </si>
  <si>
    <t>Datotečni in aplikacijski strežniki</t>
  </si>
  <si>
    <t>Predsedovanje EU</t>
  </si>
  <si>
    <t>Pog. 3111-ODMOPK4/2007-398</t>
  </si>
  <si>
    <t>Kontaktni center (EVT)</t>
  </si>
  <si>
    <t>Tehnična oprema in podpora za domače in tuje dogodke</t>
  </si>
  <si>
    <t>3111-07-0037 - ODVK-48/2006 - 3111-ODVK48/2007-367 - Storitev podpore - Videokonferenčni sistemi (4 lokacije, letni pavšal)</t>
  </si>
  <si>
    <t>Podpora specifičnim dogodkom</t>
  </si>
  <si>
    <t>3111-07-0037 Stroški storitve podaljšanega delovnega časa EVT za čas PEU</t>
  </si>
  <si>
    <t>Storitev tehnične podpore na lokaciji kompleksa in novega KC Brdo</t>
  </si>
  <si>
    <t>3111-07-0037 Najem notesnikov za čas PEU in po specifikaciji  SPU</t>
  </si>
  <si>
    <t>3111-07-0037 - ONMNM - 2-/2005 - 10 dodatni najem kopirnih in multifunkcijskih naprav</t>
  </si>
  <si>
    <t>3111-07-0037 - ODMOPK - 4/2007 - 3111-ODMOPK4/2007-398 Najem audiokonferenčne, interpreterske opreme in kabin</t>
  </si>
  <si>
    <t>3111-07-0037 Nakup notesnikov po specifikaciji SPU</t>
  </si>
  <si>
    <t>3111-07-0037 - Konzolni terminali in merilna oprema</t>
  </si>
  <si>
    <t>3111-07-0037 - Nakup dodatnih Kodirnikov videoprenosa - lokacije izven</t>
  </si>
  <si>
    <t>3111-07-0037 Dograditev centralnega videostrežnika za potrebe Telepresence</t>
  </si>
  <si>
    <t>3111-07-0037 Nakup tiskalniške opreme</t>
  </si>
  <si>
    <t>3111-07-0037 -  Nakup dodatnih zaslonov</t>
  </si>
  <si>
    <t>3111-07-0037 - Nakup nadgradenj video strežnikov - lokacije izven</t>
  </si>
  <si>
    <t>3111-07-0037 - OMLM 6/2003-6 Izgradnja LAN omrežja po objektih kompleksa JGZ Brdo (izvzet novi KC)</t>
  </si>
  <si>
    <t>3111-07-0037 Tehnična oprema in tehnična podpora dogodkom izven</t>
  </si>
  <si>
    <t>3111-07-0037 - NMV27/07 Nakup dodatne licenčne strežniške programske opreme</t>
  </si>
  <si>
    <t>3111-07-0037 - Svetovanje na področju implementacije programske opreme in logističnih procesov (Akreditacije)</t>
  </si>
  <si>
    <t>3111-07-0037- Izdelava projektne dokumentacije, strokovni nadzor</t>
  </si>
  <si>
    <t>Investicije, podpora in vzdrževanje informacijske infrastrukture državnih organov</t>
  </si>
  <si>
    <t>orignalno 2000 licenc, vendar zmanjšano za 160 zaradi nižje razpoložljivosti sredstev</t>
  </si>
  <si>
    <t xml:space="preserve">Generator protokolov in podatk. prometa (strojna in programska oprema) </t>
  </si>
  <si>
    <t>Merilno preizkusna oprema in analizatorji protokolov</t>
  </si>
  <si>
    <t>Učinkovita in uspešna javna uprava - 07-13 - EU</t>
  </si>
  <si>
    <t>Učinkovita in uspešna javna uprava - 07-13 - slovenska udeležba</t>
  </si>
  <si>
    <t>LCD projektor</t>
  </si>
  <si>
    <t>Mrežni barvni tiskalnik</t>
  </si>
  <si>
    <t>DVD predvajalnik</t>
  </si>
  <si>
    <t>Nadgradnja omrežnega programa za evidentiranje prisotnosti na del. mestu</t>
  </si>
  <si>
    <t>telefaks</t>
  </si>
  <si>
    <t>Osnovna sredstva - sredstva kupnine od prodaje državnega premoženja</t>
  </si>
  <si>
    <t>najem IUS-INFO</t>
  </si>
  <si>
    <t>Nakup 2 scanerjev.</t>
  </si>
  <si>
    <t>telekomunikacijska oprema</t>
  </si>
  <si>
    <t>Nakup programa za registracijo delovnega časa</t>
  </si>
  <si>
    <t>NADOMEŠČANJE RABLJENE RAČUNALNIŠKE OPREME - TISKALNIK.</t>
  </si>
  <si>
    <t>Storitve odprodaje in izvedbe avkcij</t>
  </si>
  <si>
    <t>IUS SOFTWARE</t>
  </si>
  <si>
    <t>Nadzorni sistem, LAN</t>
  </si>
  <si>
    <t>Razvoj in vzdrževanje računalniških aplikacij</t>
  </si>
  <si>
    <t>Informatizacija organa</t>
  </si>
  <si>
    <t>Tračne knjižnice</t>
  </si>
  <si>
    <t>Priprava pravnih podlag in navodil uporabnikov</t>
  </si>
  <si>
    <t>Večprocesorski enojedrni strežnik</t>
  </si>
  <si>
    <t>Optični pretvorniki</t>
  </si>
  <si>
    <t>Reprodukcija</t>
  </si>
  <si>
    <t>Skeniranje načrtov</t>
  </si>
  <si>
    <t>Varnostno skeniranje arhivskega gradiva in skeniranje za potrebe uporabe arhivskega gradiva.</t>
  </si>
  <si>
    <t>Raziskovalni projekti - tuja donacija</t>
  </si>
  <si>
    <t>Izvajanje zakona ZVDAGA</t>
  </si>
  <si>
    <t>Analiza procesov</t>
  </si>
  <si>
    <t>Načrtovanje poslovnih procesov</t>
  </si>
  <si>
    <t xml:space="preserve">Skupaj: </t>
  </si>
</sst>
</file>

<file path=xl/styles.xml><?xml version="1.0" encoding="utf-8"?>
<styleSheet xmlns="http://schemas.openxmlformats.org/spreadsheetml/2006/main">
  <numFmts count="8">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s>
  <fonts count="1">
    <font>
      <sz val="10"/>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
    <xf numFmtId="0" fontId="0" fillId="0" borderId="0" xfId="0" applyAlignment="1">
      <alignment/>
    </xf>
    <xf numFmtId="0" fontId="0" fillId="0" borderId="0" xfId="0" applyAlignment="1">
      <alignment wrapText="1"/>
    </xf>
    <xf numFmtId="0" fontId="0" fillId="0" borderId="0" xfId="0" applyNumberFormat="1" applyAlignment="1">
      <alignment wrapText="1"/>
    </xf>
    <xf numFmtId="0" fontId="0" fillId="0" borderId="0" xfId="0" applyNumberFormat="1" applyAlignment="1">
      <alignment/>
    </xf>
    <xf numFmtId="4" fontId="0" fillId="0" borderId="0" xfId="0" applyNumberFormat="1" applyAlignment="1">
      <alignment/>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007"/>
  <sheetViews>
    <sheetView tabSelected="1" workbookViewId="0" topLeftCell="A1980">
      <selection activeCell="A1" sqref="A1"/>
    </sheetView>
  </sheetViews>
  <sheetFormatPr defaultColWidth="9.140625" defaultRowHeight="12.75"/>
  <cols>
    <col min="11" max="11" width="16.140625" style="4" bestFit="1" customWidth="1"/>
    <col min="12" max="12" width="14.140625" style="4" customWidth="1"/>
  </cols>
  <sheetData>
    <row r="1" ht="12.75">
      <c r="A1" t="s">
        <v>0</v>
      </c>
    </row>
    <row r="2" ht="12.75">
      <c r="A2" t="s">
        <v>1</v>
      </c>
    </row>
    <row r="3" ht="12.75">
      <c r="A3" t="s">
        <v>2</v>
      </c>
    </row>
    <row r="5" ht="12.75">
      <c r="A5" t="str">
        <f>"1111 - Predsednik Republike Slovenije, verzija: 1"</f>
        <v>1111 - Predsednik Republike Slovenije, verzija: 1</v>
      </c>
    </row>
    <row r="6" spans="2:13" ht="12.75">
      <c r="B6" t="s">
        <v>3</v>
      </c>
      <c r="D6" t="s">
        <v>4</v>
      </c>
      <c r="F6" t="s">
        <v>5</v>
      </c>
      <c r="H6" t="s">
        <v>6</v>
      </c>
      <c r="J6" t="s">
        <v>7</v>
      </c>
      <c r="K6" s="4" t="s">
        <v>8</v>
      </c>
      <c r="L6" s="4" t="s">
        <v>9</v>
      </c>
      <c r="M6" t="s">
        <v>10</v>
      </c>
    </row>
    <row r="7" spans="2:12" ht="12.75">
      <c r="B7" t="str">
        <f>"1046"</f>
        <v>1046</v>
      </c>
      <c r="C7" t="s">
        <v>11</v>
      </c>
      <c r="D7">
        <v>402510</v>
      </c>
      <c r="E7" t="s">
        <v>12</v>
      </c>
      <c r="F7">
        <v>410001</v>
      </c>
      <c r="G7" t="s">
        <v>13</v>
      </c>
      <c r="H7">
        <v>41</v>
      </c>
      <c r="I7" t="s">
        <v>14</v>
      </c>
      <c r="J7">
        <v>1</v>
      </c>
      <c r="K7" s="4">
        <v>500</v>
      </c>
      <c r="L7" s="4">
        <v>500</v>
      </c>
    </row>
    <row r="8" spans="2:12" ht="12.75">
      <c r="B8" t="str">
        <f>"1046"</f>
        <v>1046</v>
      </c>
      <c r="C8" t="s">
        <v>11</v>
      </c>
      <c r="D8">
        <v>402515</v>
      </c>
      <c r="E8" t="s">
        <v>15</v>
      </c>
      <c r="F8">
        <v>350001</v>
      </c>
      <c r="G8" t="s">
        <v>16</v>
      </c>
      <c r="H8">
        <v>35</v>
      </c>
      <c r="I8" t="s">
        <v>17</v>
      </c>
      <c r="J8">
        <v>1</v>
      </c>
      <c r="K8" s="4">
        <v>1000</v>
      </c>
      <c r="L8" s="4">
        <v>1000</v>
      </c>
    </row>
    <row r="9" spans="2:12" ht="12.75">
      <c r="B9" t="str">
        <f>"1061"</f>
        <v>1061</v>
      </c>
      <c r="C9" t="s">
        <v>18</v>
      </c>
      <c r="D9">
        <v>420202</v>
      </c>
      <c r="E9" t="s">
        <v>19</v>
      </c>
      <c r="F9">
        <v>10002</v>
      </c>
      <c r="G9" t="s">
        <v>20</v>
      </c>
      <c r="H9">
        <v>1</v>
      </c>
      <c r="I9" t="s">
        <v>21</v>
      </c>
      <c r="J9">
        <v>1</v>
      </c>
      <c r="K9" s="4">
        <v>850</v>
      </c>
      <c r="L9" s="4">
        <v>850</v>
      </c>
    </row>
    <row r="10" spans="2:12" ht="12.75">
      <c r="B10" t="str">
        <f>"1061"</f>
        <v>1061</v>
      </c>
      <c r="C10" t="s">
        <v>18</v>
      </c>
      <c r="D10">
        <v>420202</v>
      </c>
      <c r="E10" t="s">
        <v>19</v>
      </c>
      <c r="F10">
        <v>40002</v>
      </c>
      <c r="G10" t="s">
        <v>22</v>
      </c>
      <c r="H10">
        <v>4</v>
      </c>
      <c r="I10" t="s">
        <v>23</v>
      </c>
      <c r="J10">
        <v>1</v>
      </c>
      <c r="K10" s="4">
        <v>220</v>
      </c>
      <c r="L10" s="4">
        <v>220</v>
      </c>
    </row>
    <row r="11" spans="2:12" ht="12.75">
      <c r="B11" t="str">
        <f>"1061"</f>
        <v>1061</v>
      </c>
      <c r="C11" t="s">
        <v>18</v>
      </c>
      <c r="D11">
        <v>420704</v>
      </c>
      <c r="E11" t="s">
        <v>24</v>
      </c>
      <c r="F11">
        <v>310009</v>
      </c>
      <c r="G11" t="s">
        <v>25</v>
      </c>
      <c r="H11">
        <v>31</v>
      </c>
      <c r="I11" t="s">
        <v>26</v>
      </c>
      <c r="J11">
        <v>1</v>
      </c>
      <c r="K11" s="4">
        <v>3103</v>
      </c>
      <c r="L11" s="4">
        <v>3103</v>
      </c>
    </row>
    <row r="12" spans="2:12" ht="12.75">
      <c r="B12" t="str">
        <f aca="true" t="shared" si="0" ref="B12:B21">"2815"</f>
        <v>2815</v>
      </c>
      <c r="C12" t="s">
        <v>27</v>
      </c>
      <c r="D12">
        <v>420202</v>
      </c>
      <c r="E12" t="s">
        <v>19</v>
      </c>
      <c r="F12">
        <v>10002</v>
      </c>
      <c r="G12" t="s">
        <v>20</v>
      </c>
      <c r="H12">
        <v>1</v>
      </c>
      <c r="I12" t="s">
        <v>21</v>
      </c>
      <c r="J12">
        <v>18</v>
      </c>
      <c r="K12" s="4">
        <v>850</v>
      </c>
      <c r="L12" s="4">
        <v>15300</v>
      </c>
    </row>
    <row r="13" spans="2:12" ht="12.75">
      <c r="B13" t="str">
        <f t="shared" si="0"/>
        <v>2815</v>
      </c>
      <c r="C13" t="s">
        <v>27</v>
      </c>
      <c r="D13">
        <v>420202</v>
      </c>
      <c r="E13" t="s">
        <v>19</v>
      </c>
      <c r="F13">
        <v>10003</v>
      </c>
      <c r="G13" t="s">
        <v>28</v>
      </c>
      <c r="H13">
        <v>1</v>
      </c>
      <c r="I13" t="s">
        <v>21</v>
      </c>
      <c r="J13">
        <v>4</v>
      </c>
      <c r="K13" s="4">
        <v>1600</v>
      </c>
      <c r="L13" s="4">
        <v>6400</v>
      </c>
    </row>
    <row r="14" spans="2:12" ht="12.75">
      <c r="B14" t="str">
        <f t="shared" si="0"/>
        <v>2815</v>
      </c>
      <c r="C14" t="s">
        <v>27</v>
      </c>
      <c r="D14">
        <v>420202</v>
      </c>
      <c r="E14" t="s">
        <v>19</v>
      </c>
      <c r="F14">
        <v>20001</v>
      </c>
      <c r="G14" t="s">
        <v>29</v>
      </c>
      <c r="H14">
        <v>2</v>
      </c>
      <c r="I14" t="s">
        <v>30</v>
      </c>
      <c r="J14">
        <v>6</v>
      </c>
      <c r="K14" s="4">
        <v>1170</v>
      </c>
      <c r="L14" s="4">
        <v>7020</v>
      </c>
    </row>
    <row r="15" spans="2:12" ht="12.75">
      <c r="B15" t="str">
        <f t="shared" si="0"/>
        <v>2815</v>
      </c>
      <c r="C15" t="s">
        <v>27</v>
      </c>
      <c r="D15">
        <v>420202</v>
      </c>
      <c r="E15" t="s">
        <v>19</v>
      </c>
      <c r="F15">
        <v>40002</v>
      </c>
      <c r="G15" t="s">
        <v>22</v>
      </c>
      <c r="H15">
        <v>4</v>
      </c>
      <c r="I15" t="s">
        <v>23</v>
      </c>
      <c r="J15">
        <v>22</v>
      </c>
      <c r="K15" s="4">
        <v>220</v>
      </c>
      <c r="L15" s="4">
        <v>4840</v>
      </c>
    </row>
    <row r="16" spans="2:12" ht="12.75">
      <c r="B16" t="str">
        <f t="shared" si="0"/>
        <v>2815</v>
      </c>
      <c r="C16" t="s">
        <v>27</v>
      </c>
      <c r="D16">
        <v>420202</v>
      </c>
      <c r="E16" t="s">
        <v>19</v>
      </c>
      <c r="F16">
        <v>60002</v>
      </c>
      <c r="G16" t="s">
        <v>31</v>
      </c>
      <c r="H16">
        <v>6</v>
      </c>
      <c r="I16" t="s">
        <v>32</v>
      </c>
      <c r="J16">
        <v>6</v>
      </c>
      <c r="K16" s="4">
        <v>550</v>
      </c>
      <c r="L16" s="4">
        <v>3300</v>
      </c>
    </row>
    <row r="17" spans="2:12" ht="12.75">
      <c r="B17" t="str">
        <f t="shared" si="0"/>
        <v>2815</v>
      </c>
      <c r="C17" t="s">
        <v>27</v>
      </c>
      <c r="D17">
        <v>420202</v>
      </c>
      <c r="E17" t="s">
        <v>19</v>
      </c>
      <c r="F17">
        <v>60004</v>
      </c>
      <c r="G17" t="s">
        <v>33</v>
      </c>
      <c r="H17">
        <v>6</v>
      </c>
      <c r="I17" t="s">
        <v>32</v>
      </c>
      <c r="J17">
        <v>10</v>
      </c>
      <c r="K17" s="4">
        <v>330</v>
      </c>
      <c r="L17" s="4">
        <v>3300</v>
      </c>
    </row>
    <row r="18" spans="2:12" ht="12.75">
      <c r="B18" t="str">
        <f t="shared" si="0"/>
        <v>2815</v>
      </c>
      <c r="C18" t="s">
        <v>27</v>
      </c>
      <c r="D18">
        <v>420238</v>
      </c>
      <c r="E18" t="s">
        <v>34</v>
      </c>
      <c r="F18">
        <v>100016</v>
      </c>
      <c r="G18" t="s">
        <v>25</v>
      </c>
      <c r="H18">
        <v>10</v>
      </c>
      <c r="I18" t="s">
        <v>35</v>
      </c>
      <c r="J18">
        <v>20</v>
      </c>
      <c r="K18" s="4">
        <v>150</v>
      </c>
      <c r="L18" s="4">
        <v>3000</v>
      </c>
    </row>
    <row r="19" spans="2:12" ht="12.75">
      <c r="B19" t="str">
        <f t="shared" si="0"/>
        <v>2815</v>
      </c>
      <c r="C19" t="s">
        <v>27</v>
      </c>
      <c r="D19">
        <v>420248</v>
      </c>
      <c r="E19" t="s">
        <v>36</v>
      </c>
      <c r="F19">
        <v>120003</v>
      </c>
      <c r="G19" t="s">
        <v>37</v>
      </c>
      <c r="H19">
        <v>12</v>
      </c>
      <c r="I19" t="s">
        <v>38</v>
      </c>
      <c r="J19">
        <v>1</v>
      </c>
      <c r="K19" s="4">
        <v>36960</v>
      </c>
      <c r="L19" s="4">
        <v>36960</v>
      </c>
    </row>
    <row r="20" spans="2:12" ht="12.75">
      <c r="B20" t="str">
        <f t="shared" si="0"/>
        <v>2815</v>
      </c>
      <c r="C20" t="s">
        <v>27</v>
      </c>
      <c r="D20">
        <v>420249</v>
      </c>
      <c r="E20" t="s">
        <v>39</v>
      </c>
      <c r="F20">
        <v>120003</v>
      </c>
      <c r="G20" t="s">
        <v>37</v>
      </c>
      <c r="H20">
        <v>12</v>
      </c>
      <c r="I20" t="s">
        <v>38</v>
      </c>
      <c r="J20">
        <v>1</v>
      </c>
      <c r="K20" s="4">
        <v>71844</v>
      </c>
      <c r="L20" s="4">
        <v>71844</v>
      </c>
    </row>
    <row r="21" spans="2:12" ht="12.75">
      <c r="B21" t="str">
        <f t="shared" si="0"/>
        <v>2815</v>
      </c>
      <c r="C21" t="s">
        <v>27</v>
      </c>
      <c r="D21">
        <v>420704</v>
      </c>
      <c r="E21" t="s">
        <v>24</v>
      </c>
      <c r="F21">
        <v>310009</v>
      </c>
      <c r="G21" t="s">
        <v>25</v>
      </c>
      <c r="H21">
        <v>31</v>
      </c>
      <c r="I21" t="s">
        <v>26</v>
      </c>
      <c r="J21">
        <v>1</v>
      </c>
      <c r="K21" s="4">
        <v>7980</v>
      </c>
      <c r="L21" s="4">
        <v>7980</v>
      </c>
    </row>
    <row r="22" spans="2:12" ht="12.75">
      <c r="B22" t="str">
        <f>"3324"</f>
        <v>3324</v>
      </c>
      <c r="C22" t="s">
        <v>40</v>
      </c>
      <c r="D22">
        <v>402007</v>
      </c>
      <c r="E22" t="s">
        <v>41</v>
      </c>
      <c r="F22">
        <v>450005</v>
      </c>
      <c r="G22" t="s">
        <v>42</v>
      </c>
      <c r="H22">
        <v>45</v>
      </c>
      <c r="I22" t="s">
        <v>43</v>
      </c>
      <c r="J22">
        <v>1</v>
      </c>
      <c r="K22" s="4">
        <v>300</v>
      </c>
      <c r="L22" s="4">
        <v>300</v>
      </c>
    </row>
    <row r="23" spans="2:12" ht="12.75">
      <c r="B23" t="str">
        <f>"3324"</f>
        <v>3324</v>
      </c>
      <c r="C23" t="s">
        <v>40</v>
      </c>
      <c r="D23">
        <v>402510</v>
      </c>
      <c r="E23" t="s">
        <v>12</v>
      </c>
      <c r="F23">
        <v>350003</v>
      </c>
      <c r="G23" t="s">
        <v>44</v>
      </c>
      <c r="H23">
        <v>35</v>
      </c>
      <c r="I23" t="s">
        <v>17</v>
      </c>
      <c r="J23">
        <v>1</v>
      </c>
      <c r="K23" s="4">
        <v>10000</v>
      </c>
      <c r="L23" s="4">
        <v>10000</v>
      </c>
    </row>
    <row r="24" spans="2:12" ht="12.75">
      <c r="B24" t="str">
        <f>"3324"</f>
        <v>3324</v>
      </c>
      <c r="C24" t="s">
        <v>40</v>
      </c>
      <c r="D24">
        <v>402514</v>
      </c>
      <c r="E24" t="s">
        <v>45</v>
      </c>
      <c r="F24">
        <v>310005</v>
      </c>
      <c r="G24" t="s">
        <v>46</v>
      </c>
      <c r="H24">
        <v>31</v>
      </c>
      <c r="I24" t="s">
        <v>26</v>
      </c>
      <c r="J24">
        <v>1</v>
      </c>
      <c r="K24" s="4">
        <v>2000</v>
      </c>
      <c r="L24" s="4">
        <v>2000</v>
      </c>
    </row>
    <row r="25" spans="2:12" ht="12.75">
      <c r="B25" t="str">
        <f>"3324"</f>
        <v>3324</v>
      </c>
      <c r="C25" t="s">
        <v>40</v>
      </c>
      <c r="D25">
        <v>402515</v>
      </c>
      <c r="E25" t="s">
        <v>15</v>
      </c>
      <c r="F25">
        <v>350001</v>
      </c>
      <c r="G25" t="s">
        <v>16</v>
      </c>
      <c r="H25">
        <v>35</v>
      </c>
      <c r="I25" t="s">
        <v>17</v>
      </c>
      <c r="J25">
        <v>1</v>
      </c>
      <c r="K25" s="4">
        <v>18000</v>
      </c>
      <c r="L25" s="4">
        <v>18000</v>
      </c>
    </row>
    <row r="26" spans="1:2" ht="12.75">
      <c r="A26" t="s">
        <v>47</v>
      </c>
      <c r="B26">
        <f>SUM(L7:L25)</f>
        <v>195917</v>
      </c>
    </row>
    <row r="28" ht="12.75">
      <c r="A28" t="str">
        <f>"1215 - Informacijski pooblaščenec, verzija: 1"</f>
        <v>1215 - Informacijski pooblaščenec, verzija: 1</v>
      </c>
    </row>
    <row r="29" spans="2:13" ht="12.75">
      <c r="B29" t="s">
        <v>3</v>
      </c>
      <c r="D29" t="s">
        <v>4</v>
      </c>
      <c r="F29" t="s">
        <v>5</v>
      </c>
      <c r="H29" t="s">
        <v>6</v>
      </c>
      <c r="J29" t="s">
        <v>7</v>
      </c>
      <c r="K29" s="4" t="s">
        <v>8</v>
      </c>
      <c r="L29" s="4" t="s">
        <v>9</v>
      </c>
      <c r="M29" t="s">
        <v>10</v>
      </c>
    </row>
    <row r="30" spans="2:13" ht="12.75">
      <c r="B30" t="str">
        <f>"1273"</f>
        <v>1273</v>
      </c>
      <c r="C30" t="s">
        <v>27</v>
      </c>
      <c r="D30">
        <v>420202</v>
      </c>
      <c r="E30" t="s">
        <v>19</v>
      </c>
      <c r="F30">
        <v>10001</v>
      </c>
      <c r="G30" t="s">
        <v>48</v>
      </c>
      <c r="H30">
        <v>1</v>
      </c>
      <c r="I30" t="s">
        <v>21</v>
      </c>
      <c r="J30">
        <v>9</v>
      </c>
      <c r="K30" s="4">
        <v>1334</v>
      </c>
      <c r="L30" s="4">
        <v>12006</v>
      </c>
      <c r="M30" t="s">
        <v>49</v>
      </c>
    </row>
    <row r="31" spans="2:12" ht="12.75">
      <c r="B31" t="str">
        <f>"1273"</f>
        <v>1273</v>
      </c>
      <c r="C31" t="s">
        <v>27</v>
      </c>
      <c r="D31">
        <v>420238</v>
      </c>
      <c r="E31" t="s">
        <v>34</v>
      </c>
      <c r="F31">
        <v>400024</v>
      </c>
      <c r="G31" t="s">
        <v>25</v>
      </c>
      <c r="H31">
        <v>40</v>
      </c>
      <c r="I31" t="s">
        <v>50</v>
      </c>
      <c r="J31">
        <v>1</v>
      </c>
      <c r="K31" s="4">
        <v>494</v>
      </c>
      <c r="L31" s="4">
        <v>494</v>
      </c>
    </row>
    <row r="32" spans="2:12" ht="12.75">
      <c r="B32" t="str">
        <f>"1273"</f>
        <v>1273</v>
      </c>
      <c r="C32" t="s">
        <v>27</v>
      </c>
      <c r="D32">
        <v>420703</v>
      </c>
      <c r="E32" t="s">
        <v>51</v>
      </c>
      <c r="F32">
        <v>180009</v>
      </c>
      <c r="G32" t="s">
        <v>52</v>
      </c>
      <c r="H32">
        <v>18</v>
      </c>
      <c r="I32" t="s">
        <v>53</v>
      </c>
      <c r="J32">
        <v>4</v>
      </c>
      <c r="K32" s="4">
        <v>500</v>
      </c>
      <c r="L32" s="4">
        <v>2000</v>
      </c>
    </row>
    <row r="33" spans="1:2" ht="12.75">
      <c r="A33" t="s">
        <v>47</v>
      </c>
      <c r="B33">
        <f>SUM(L30:L32)</f>
        <v>14500</v>
      </c>
    </row>
    <row r="35" ht="12.75">
      <c r="A35" t="str">
        <f>"1314 - Državna revizijska komisija, verzija: 1"</f>
        <v>1314 - Državna revizijska komisija, verzija: 1</v>
      </c>
    </row>
    <row r="36" spans="2:13" ht="12.75">
      <c r="B36" t="s">
        <v>3</v>
      </c>
      <c r="D36" t="s">
        <v>4</v>
      </c>
      <c r="F36" t="s">
        <v>5</v>
      </c>
      <c r="H36" t="s">
        <v>6</v>
      </c>
      <c r="J36" t="s">
        <v>7</v>
      </c>
      <c r="K36" s="4" t="s">
        <v>8</v>
      </c>
      <c r="L36" s="4" t="s">
        <v>9</v>
      </c>
      <c r="M36" t="s">
        <v>10</v>
      </c>
    </row>
    <row r="37" spans="2:12" ht="12.75">
      <c r="B37" t="str">
        <f>"1021"</f>
        <v>1021</v>
      </c>
      <c r="C37" t="s">
        <v>40</v>
      </c>
      <c r="D37">
        <v>402011</v>
      </c>
      <c r="E37" t="s">
        <v>54</v>
      </c>
      <c r="F37">
        <v>430007</v>
      </c>
      <c r="G37" t="s">
        <v>55</v>
      </c>
      <c r="H37">
        <v>43</v>
      </c>
      <c r="I37" t="s">
        <v>56</v>
      </c>
      <c r="J37">
        <v>463</v>
      </c>
      <c r="K37" s="4">
        <v>43.15</v>
      </c>
      <c r="L37" s="4">
        <v>19978.45</v>
      </c>
    </row>
    <row r="38" spans="2:12" ht="12.75">
      <c r="B38" t="str">
        <f aca="true" t="shared" si="1" ref="B38:B45">"1022"</f>
        <v>1022</v>
      </c>
      <c r="C38" t="s">
        <v>57</v>
      </c>
      <c r="D38">
        <v>420202</v>
      </c>
      <c r="E38" t="s">
        <v>19</v>
      </c>
      <c r="F38">
        <v>10003</v>
      </c>
      <c r="G38" t="s">
        <v>28</v>
      </c>
      <c r="H38">
        <v>1</v>
      </c>
      <c r="I38" t="s">
        <v>21</v>
      </c>
      <c r="J38">
        <v>4</v>
      </c>
      <c r="K38" s="4">
        <v>915.6</v>
      </c>
      <c r="L38" s="4">
        <v>3662.4</v>
      </c>
    </row>
    <row r="39" spans="2:12" ht="12.75">
      <c r="B39" t="str">
        <f t="shared" si="1"/>
        <v>1022</v>
      </c>
      <c r="C39" t="s">
        <v>57</v>
      </c>
      <c r="D39">
        <v>420202</v>
      </c>
      <c r="E39" t="s">
        <v>19</v>
      </c>
      <c r="F39">
        <v>20002</v>
      </c>
      <c r="G39" t="s">
        <v>58</v>
      </c>
      <c r="H39">
        <v>2</v>
      </c>
      <c r="I39" t="s">
        <v>30</v>
      </c>
      <c r="J39">
        <v>3</v>
      </c>
      <c r="K39" s="4">
        <v>1590</v>
      </c>
      <c r="L39" s="4">
        <v>4770</v>
      </c>
    </row>
    <row r="40" spans="2:12" ht="12.75">
      <c r="B40" t="str">
        <f t="shared" si="1"/>
        <v>1022</v>
      </c>
      <c r="C40" t="s">
        <v>57</v>
      </c>
      <c r="D40">
        <v>420202</v>
      </c>
      <c r="E40" t="s">
        <v>19</v>
      </c>
      <c r="F40">
        <v>40001</v>
      </c>
      <c r="G40" t="s">
        <v>59</v>
      </c>
      <c r="H40">
        <v>4</v>
      </c>
      <c r="I40" t="s">
        <v>23</v>
      </c>
      <c r="J40">
        <v>5</v>
      </c>
      <c r="K40" s="4">
        <v>252.96</v>
      </c>
      <c r="L40" s="4">
        <v>1264.8</v>
      </c>
    </row>
    <row r="41" spans="2:13" ht="12.75">
      <c r="B41" t="str">
        <f t="shared" si="1"/>
        <v>1022</v>
      </c>
      <c r="C41" t="s">
        <v>57</v>
      </c>
      <c r="D41">
        <v>420222</v>
      </c>
      <c r="E41" t="s">
        <v>60</v>
      </c>
      <c r="F41">
        <v>190004</v>
      </c>
      <c r="G41" t="s">
        <v>61</v>
      </c>
      <c r="H41">
        <v>19</v>
      </c>
      <c r="I41" t="s">
        <v>62</v>
      </c>
      <c r="J41">
        <v>1</v>
      </c>
      <c r="K41" s="4">
        <v>6463</v>
      </c>
      <c r="L41" s="4">
        <v>6463</v>
      </c>
      <c r="M41" t="s">
        <v>63</v>
      </c>
    </row>
    <row r="42" spans="2:12" ht="12.75">
      <c r="B42" t="str">
        <f t="shared" si="1"/>
        <v>1022</v>
      </c>
      <c r="C42" t="s">
        <v>57</v>
      </c>
      <c r="D42">
        <v>420238</v>
      </c>
      <c r="E42" t="s">
        <v>34</v>
      </c>
      <c r="F42">
        <v>60004</v>
      </c>
      <c r="G42" t="s">
        <v>33</v>
      </c>
      <c r="H42">
        <v>6</v>
      </c>
      <c r="I42" t="s">
        <v>32</v>
      </c>
      <c r="J42">
        <v>4</v>
      </c>
      <c r="K42" s="4">
        <v>375.19</v>
      </c>
      <c r="L42" s="4">
        <v>1500.76</v>
      </c>
    </row>
    <row r="43" spans="2:13" ht="12.75">
      <c r="B43" t="str">
        <f t="shared" si="1"/>
        <v>1022</v>
      </c>
      <c r="C43" t="s">
        <v>57</v>
      </c>
      <c r="D43">
        <v>420238</v>
      </c>
      <c r="E43" t="s">
        <v>34</v>
      </c>
      <c r="F43">
        <v>140007</v>
      </c>
      <c r="G43" t="s">
        <v>25</v>
      </c>
      <c r="H43">
        <v>14</v>
      </c>
      <c r="I43" t="s">
        <v>64</v>
      </c>
      <c r="J43">
        <v>1</v>
      </c>
      <c r="K43" s="4">
        <v>208.22</v>
      </c>
      <c r="L43" s="4">
        <v>208.22</v>
      </c>
      <c r="M43" t="s">
        <v>65</v>
      </c>
    </row>
    <row r="44" spans="2:13" ht="12.75">
      <c r="B44" t="str">
        <f t="shared" si="1"/>
        <v>1022</v>
      </c>
      <c r="C44" t="s">
        <v>57</v>
      </c>
      <c r="D44">
        <v>420238</v>
      </c>
      <c r="E44" t="s">
        <v>34</v>
      </c>
      <c r="F44">
        <v>140007</v>
      </c>
      <c r="G44" t="s">
        <v>25</v>
      </c>
      <c r="H44">
        <v>14</v>
      </c>
      <c r="I44" t="s">
        <v>64</v>
      </c>
      <c r="J44">
        <v>1</v>
      </c>
      <c r="K44" s="4">
        <v>124.76</v>
      </c>
      <c r="L44" s="4">
        <v>124.76</v>
      </c>
      <c r="M44" t="s">
        <v>66</v>
      </c>
    </row>
    <row r="45" spans="2:13" ht="12.75">
      <c r="B45" t="str">
        <f t="shared" si="1"/>
        <v>1022</v>
      </c>
      <c r="C45" t="s">
        <v>57</v>
      </c>
      <c r="D45">
        <v>420704</v>
      </c>
      <c r="E45" t="s">
        <v>24</v>
      </c>
      <c r="F45">
        <v>310005</v>
      </c>
      <c r="G45" t="s">
        <v>46</v>
      </c>
      <c r="H45">
        <v>31</v>
      </c>
      <c r="I45" t="s">
        <v>26</v>
      </c>
      <c r="J45">
        <v>1</v>
      </c>
      <c r="K45" s="4">
        <v>354.61</v>
      </c>
      <c r="L45" s="4">
        <v>354.61</v>
      </c>
      <c r="M45" t="s">
        <v>67</v>
      </c>
    </row>
    <row r="46" spans="2:12" ht="12.75">
      <c r="B46" t="str">
        <f>"9185"</f>
        <v>9185</v>
      </c>
      <c r="C46" t="s">
        <v>68</v>
      </c>
      <c r="D46">
        <v>420202</v>
      </c>
      <c r="E46" t="s">
        <v>19</v>
      </c>
      <c r="F46">
        <v>10003</v>
      </c>
      <c r="G46" t="s">
        <v>28</v>
      </c>
      <c r="H46">
        <v>1</v>
      </c>
      <c r="I46" t="s">
        <v>21</v>
      </c>
      <c r="J46">
        <v>1</v>
      </c>
      <c r="K46" s="4">
        <v>1000</v>
      </c>
      <c r="L46" s="4">
        <v>1000</v>
      </c>
    </row>
    <row r="47" spans="1:2" ht="12.75">
      <c r="A47" t="s">
        <v>47</v>
      </c>
      <c r="B47">
        <f>SUM(L37:L46)</f>
        <v>39327.00000000001</v>
      </c>
    </row>
    <row r="49" ht="12.75">
      <c r="A49" t="str">
        <f>"1315 - Komisija za preprečevanje korupcije, verzija: 1"</f>
        <v>1315 - Komisija za preprečevanje korupcije, verzija: 1</v>
      </c>
    </row>
    <row r="50" spans="2:13" ht="12.75">
      <c r="B50" t="s">
        <v>3</v>
      </c>
      <c r="D50" t="s">
        <v>4</v>
      </c>
      <c r="F50" t="s">
        <v>5</v>
      </c>
      <c r="H50" t="s">
        <v>6</v>
      </c>
      <c r="J50" t="s">
        <v>7</v>
      </c>
      <c r="K50" s="4" t="s">
        <v>8</v>
      </c>
      <c r="L50" s="4" t="s">
        <v>9</v>
      </c>
      <c r="M50" t="s">
        <v>10</v>
      </c>
    </row>
    <row r="51" spans="2:12" ht="12.75">
      <c r="B51" t="str">
        <f>"5438"</f>
        <v>5438</v>
      </c>
      <c r="C51" t="s">
        <v>27</v>
      </c>
      <c r="D51">
        <v>420202</v>
      </c>
      <c r="E51" t="s">
        <v>19</v>
      </c>
      <c r="F51">
        <v>10003</v>
      </c>
      <c r="G51" t="s">
        <v>28</v>
      </c>
      <c r="H51">
        <v>1</v>
      </c>
      <c r="I51" t="s">
        <v>21</v>
      </c>
      <c r="J51">
        <v>5</v>
      </c>
      <c r="K51" s="4">
        <v>1000</v>
      </c>
      <c r="L51" s="4">
        <v>5000</v>
      </c>
    </row>
    <row r="52" spans="2:12" ht="12.75">
      <c r="B52" t="str">
        <f>"5438"</f>
        <v>5438</v>
      </c>
      <c r="C52" t="s">
        <v>27</v>
      </c>
      <c r="D52">
        <v>420222</v>
      </c>
      <c r="E52" t="s">
        <v>60</v>
      </c>
      <c r="F52">
        <v>260007</v>
      </c>
      <c r="G52" t="s">
        <v>25</v>
      </c>
      <c r="H52">
        <v>26</v>
      </c>
      <c r="I52" t="s">
        <v>69</v>
      </c>
      <c r="J52">
        <v>1</v>
      </c>
      <c r="K52" s="4">
        <v>15000</v>
      </c>
      <c r="L52" s="4">
        <v>15000</v>
      </c>
    </row>
    <row r="53" spans="2:12" ht="12.75">
      <c r="B53" t="str">
        <f>"5438"</f>
        <v>5438</v>
      </c>
      <c r="C53" t="s">
        <v>27</v>
      </c>
      <c r="D53">
        <v>420238</v>
      </c>
      <c r="E53" t="s">
        <v>34</v>
      </c>
      <c r="F53">
        <v>310009</v>
      </c>
      <c r="G53" t="s">
        <v>25</v>
      </c>
      <c r="H53">
        <v>31</v>
      </c>
      <c r="I53" t="s">
        <v>26</v>
      </c>
      <c r="J53">
        <v>1</v>
      </c>
      <c r="K53" s="4">
        <v>15000</v>
      </c>
      <c r="L53" s="4">
        <v>15000</v>
      </c>
    </row>
    <row r="54" spans="2:12" ht="12.75">
      <c r="B54" t="str">
        <f>"5438"</f>
        <v>5438</v>
      </c>
      <c r="C54" t="s">
        <v>27</v>
      </c>
      <c r="D54">
        <v>420703</v>
      </c>
      <c r="E54" t="s">
        <v>51</v>
      </c>
      <c r="F54">
        <v>310005</v>
      </c>
      <c r="G54" t="s">
        <v>46</v>
      </c>
      <c r="H54">
        <v>31</v>
      </c>
      <c r="I54" t="s">
        <v>26</v>
      </c>
      <c r="J54">
        <v>1</v>
      </c>
      <c r="K54" s="4">
        <v>6500</v>
      </c>
      <c r="L54" s="4">
        <v>6500</v>
      </c>
    </row>
    <row r="55" spans="2:12" ht="12.75">
      <c r="B55" t="str">
        <f>"5438"</f>
        <v>5438</v>
      </c>
      <c r="C55" t="s">
        <v>27</v>
      </c>
      <c r="D55">
        <v>420704</v>
      </c>
      <c r="E55" t="s">
        <v>24</v>
      </c>
      <c r="F55">
        <v>160007</v>
      </c>
      <c r="G55" t="s">
        <v>70</v>
      </c>
      <c r="H55">
        <v>16</v>
      </c>
      <c r="I55" t="s">
        <v>71</v>
      </c>
      <c r="J55">
        <v>1</v>
      </c>
      <c r="K55" s="4">
        <v>5000</v>
      </c>
      <c r="L55" s="4">
        <v>5000</v>
      </c>
    </row>
    <row r="56" spans="1:2" ht="12.75">
      <c r="A56" t="s">
        <v>47</v>
      </c>
      <c r="B56">
        <f>SUM(L51:L55)</f>
        <v>46500</v>
      </c>
    </row>
    <row r="58" ht="12.75">
      <c r="A58" t="str">
        <f>"1411 - Kabinet predsednika vlade, verzija: 1"</f>
        <v>1411 - Kabinet predsednika vlade, verzija: 1</v>
      </c>
    </row>
    <row r="59" spans="2:13" ht="12.75">
      <c r="B59" t="s">
        <v>3</v>
      </c>
      <c r="D59" t="s">
        <v>4</v>
      </c>
      <c r="F59" t="s">
        <v>5</v>
      </c>
      <c r="H59" t="s">
        <v>6</v>
      </c>
      <c r="J59" t="s">
        <v>7</v>
      </c>
      <c r="K59" s="4" t="s">
        <v>8</v>
      </c>
      <c r="L59" s="4" t="s">
        <v>9</v>
      </c>
      <c r="M59" t="s">
        <v>10</v>
      </c>
    </row>
    <row r="60" spans="2:12" ht="12.75">
      <c r="B60" t="str">
        <f aca="true" t="shared" si="2" ref="B60:B72">"2825"</f>
        <v>2825</v>
      </c>
      <c r="C60" t="s">
        <v>27</v>
      </c>
      <c r="D60">
        <v>420202</v>
      </c>
      <c r="E60" t="s">
        <v>19</v>
      </c>
      <c r="F60">
        <v>10002</v>
      </c>
      <c r="G60" t="s">
        <v>20</v>
      </c>
      <c r="H60">
        <v>1</v>
      </c>
      <c r="I60" t="s">
        <v>21</v>
      </c>
      <c r="J60">
        <v>3</v>
      </c>
      <c r="K60" s="4">
        <v>667.67</v>
      </c>
      <c r="L60" s="4">
        <v>2003.01</v>
      </c>
    </row>
    <row r="61" spans="2:12" ht="12.75">
      <c r="B61" t="str">
        <f t="shared" si="2"/>
        <v>2825</v>
      </c>
      <c r="C61" t="s">
        <v>27</v>
      </c>
      <c r="D61">
        <v>420202</v>
      </c>
      <c r="E61" t="s">
        <v>19</v>
      </c>
      <c r="F61">
        <v>10003</v>
      </c>
      <c r="G61" t="s">
        <v>28</v>
      </c>
      <c r="H61">
        <v>1</v>
      </c>
      <c r="I61" t="s">
        <v>21</v>
      </c>
      <c r="J61">
        <v>2</v>
      </c>
      <c r="K61" s="4">
        <v>834.59</v>
      </c>
      <c r="L61" s="4">
        <v>1669.18</v>
      </c>
    </row>
    <row r="62" spans="2:12" ht="12.75">
      <c r="B62" t="str">
        <f t="shared" si="2"/>
        <v>2825</v>
      </c>
      <c r="C62" t="s">
        <v>27</v>
      </c>
      <c r="D62">
        <v>420202</v>
      </c>
      <c r="E62" t="s">
        <v>19</v>
      </c>
      <c r="F62">
        <v>20001</v>
      </c>
      <c r="G62" t="s">
        <v>29</v>
      </c>
      <c r="H62">
        <v>2</v>
      </c>
      <c r="I62" t="s">
        <v>30</v>
      </c>
      <c r="J62">
        <v>1</v>
      </c>
      <c r="K62" s="4">
        <v>1418.79</v>
      </c>
      <c r="L62" s="4">
        <v>1418.79</v>
      </c>
    </row>
    <row r="63" spans="2:12" ht="12.75">
      <c r="B63" t="str">
        <f t="shared" si="2"/>
        <v>2825</v>
      </c>
      <c r="C63" t="s">
        <v>27</v>
      </c>
      <c r="D63">
        <v>420202</v>
      </c>
      <c r="E63" t="s">
        <v>19</v>
      </c>
      <c r="F63">
        <v>40002</v>
      </c>
      <c r="G63" t="s">
        <v>22</v>
      </c>
      <c r="H63">
        <v>4</v>
      </c>
      <c r="I63" t="s">
        <v>23</v>
      </c>
      <c r="J63">
        <v>3</v>
      </c>
      <c r="K63" s="4">
        <v>333.83</v>
      </c>
      <c r="L63" s="4">
        <v>1001.49</v>
      </c>
    </row>
    <row r="64" spans="2:12" ht="12.75">
      <c r="B64" t="str">
        <f t="shared" si="2"/>
        <v>2825</v>
      </c>
      <c r="C64" t="s">
        <v>27</v>
      </c>
      <c r="D64">
        <v>420202</v>
      </c>
      <c r="E64" t="s">
        <v>19</v>
      </c>
      <c r="F64">
        <v>40003</v>
      </c>
      <c r="G64" t="s">
        <v>72</v>
      </c>
      <c r="H64">
        <v>4</v>
      </c>
      <c r="I64" t="s">
        <v>23</v>
      </c>
      <c r="J64">
        <v>2</v>
      </c>
      <c r="K64" s="4">
        <v>584.21</v>
      </c>
      <c r="L64" s="4">
        <v>1168.42</v>
      </c>
    </row>
    <row r="65" spans="2:12" ht="12.75">
      <c r="B65" t="str">
        <f t="shared" si="2"/>
        <v>2825</v>
      </c>
      <c r="C65" t="s">
        <v>27</v>
      </c>
      <c r="D65">
        <v>420202</v>
      </c>
      <c r="E65" t="s">
        <v>19</v>
      </c>
      <c r="F65">
        <v>60002</v>
      </c>
      <c r="G65" t="s">
        <v>31</v>
      </c>
      <c r="H65">
        <v>6</v>
      </c>
      <c r="I65" t="s">
        <v>32</v>
      </c>
      <c r="J65">
        <v>2</v>
      </c>
      <c r="K65" s="4">
        <v>1251.88</v>
      </c>
      <c r="L65" s="4">
        <v>2503.76</v>
      </c>
    </row>
    <row r="66" spans="2:12" ht="12.75">
      <c r="B66" t="str">
        <f t="shared" si="2"/>
        <v>2825</v>
      </c>
      <c r="C66" t="s">
        <v>27</v>
      </c>
      <c r="D66">
        <v>420202</v>
      </c>
      <c r="E66" t="s">
        <v>19</v>
      </c>
      <c r="F66">
        <v>70003</v>
      </c>
      <c r="G66" t="s">
        <v>73</v>
      </c>
      <c r="H66">
        <v>7</v>
      </c>
      <c r="I66" t="s">
        <v>74</v>
      </c>
      <c r="J66">
        <v>1</v>
      </c>
      <c r="K66" s="4">
        <v>2503.76</v>
      </c>
      <c r="L66" s="4">
        <v>2503.76</v>
      </c>
    </row>
    <row r="67" spans="2:12" ht="12.75">
      <c r="B67" t="str">
        <f t="shared" si="2"/>
        <v>2825</v>
      </c>
      <c r="C67" t="s">
        <v>27</v>
      </c>
      <c r="D67">
        <v>420202</v>
      </c>
      <c r="E67" t="s">
        <v>19</v>
      </c>
      <c r="F67">
        <v>80003</v>
      </c>
      <c r="G67" t="s">
        <v>75</v>
      </c>
      <c r="H67">
        <v>8</v>
      </c>
      <c r="I67" t="s">
        <v>76</v>
      </c>
      <c r="J67">
        <v>1</v>
      </c>
      <c r="K67" s="4">
        <v>208.65</v>
      </c>
      <c r="L67" s="4">
        <v>208.65</v>
      </c>
    </row>
    <row r="68" spans="2:12" ht="12.75">
      <c r="B68" t="str">
        <f t="shared" si="2"/>
        <v>2825</v>
      </c>
      <c r="C68" t="s">
        <v>27</v>
      </c>
      <c r="D68">
        <v>420202</v>
      </c>
      <c r="E68" t="s">
        <v>19</v>
      </c>
      <c r="F68">
        <v>100001</v>
      </c>
      <c r="G68" t="s">
        <v>77</v>
      </c>
      <c r="H68">
        <v>10</v>
      </c>
      <c r="I68" t="s">
        <v>35</v>
      </c>
      <c r="J68">
        <v>1</v>
      </c>
      <c r="K68" s="4">
        <v>575.86</v>
      </c>
      <c r="L68" s="4">
        <v>575.86</v>
      </c>
    </row>
    <row r="69" spans="2:13" ht="12.75">
      <c r="B69" t="str">
        <f t="shared" si="2"/>
        <v>2825</v>
      </c>
      <c r="C69" t="s">
        <v>27</v>
      </c>
      <c r="D69">
        <v>420238</v>
      </c>
      <c r="E69" t="s">
        <v>34</v>
      </c>
      <c r="F69">
        <v>30005</v>
      </c>
      <c r="G69" t="s">
        <v>25</v>
      </c>
      <c r="H69">
        <v>3</v>
      </c>
      <c r="I69" t="s">
        <v>78</v>
      </c>
      <c r="J69">
        <v>6</v>
      </c>
      <c r="K69" s="4">
        <v>16.27</v>
      </c>
      <c r="L69" s="4">
        <v>97.62</v>
      </c>
      <c r="M69" t="s">
        <v>79</v>
      </c>
    </row>
    <row r="70" spans="2:13" ht="12.75">
      <c r="B70" t="str">
        <f t="shared" si="2"/>
        <v>2825</v>
      </c>
      <c r="C70" t="s">
        <v>27</v>
      </c>
      <c r="D70">
        <v>420238</v>
      </c>
      <c r="E70" t="s">
        <v>34</v>
      </c>
      <c r="F70">
        <v>30005</v>
      </c>
      <c r="G70" t="s">
        <v>25</v>
      </c>
      <c r="H70">
        <v>3</v>
      </c>
      <c r="I70" t="s">
        <v>78</v>
      </c>
      <c r="J70">
        <v>7</v>
      </c>
      <c r="K70" s="4">
        <v>41.31</v>
      </c>
      <c r="L70" s="4">
        <v>289.17</v>
      </c>
      <c r="M70" t="s">
        <v>80</v>
      </c>
    </row>
    <row r="71" spans="2:13" ht="12.75">
      <c r="B71" t="str">
        <f t="shared" si="2"/>
        <v>2825</v>
      </c>
      <c r="C71" t="s">
        <v>27</v>
      </c>
      <c r="D71">
        <v>420238</v>
      </c>
      <c r="E71" t="s">
        <v>34</v>
      </c>
      <c r="F71">
        <v>30005</v>
      </c>
      <c r="G71" t="s">
        <v>25</v>
      </c>
      <c r="H71">
        <v>3</v>
      </c>
      <c r="I71" t="s">
        <v>78</v>
      </c>
      <c r="J71">
        <v>7</v>
      </c>
      <c r="K71" s="4">
        <v>166.5</v>
      </c>
      <c r="L71" s="4">
        <v>1165.5</v>
      </c>
      <c r="M71" t="s">
        <v>81</v>
      </c>
    </row>
    <row r="72" spans="2:12" ht="12.75">
      <c r="B72" t="str">
        <f t="shared" si="2"/>
        <v>2825</v>
      </c>
      <c r="C72" t="s">
        <v>27</v>
      </c>
      <c r="D72">
        <v>420703</v>
      </c>
      <c r="E72" t="s">
        <v>51</v>
      </c>
      <c r="F72">
        <v>310007</v>
      </c>
      <c r="G72" t="s">
        <v>82</v>
      </c>
      <c r="H72">
        <v>31</v>
      </c>
      <c r="I72" t="s">
        <v>26</v>
      </c>
      <c r="J72">
        <v>1</v>
      </c>
      <c r="K72" s="4">
        <v>14605.24</v>
      </c>
      <c r="L72" s="4">
        <v>14605.24</v>
      </c>
    </row>
    <row r="73" spans="2:12" ht="12.75">
      <c r="B73" t="str">
        <f>"4900"</f>
        <v>4900</v>
      </c>
      <c r="C73" t="s">
        <v>83</v>
      </c>
      <c r="D73">
        <v>420703</v>
      </c>
      <c r="E73" t="s">
        <v>51</v>
      </c>
      <c r="F73">
        <v>310007</v>
      </c>
      <c r="G73" t="s">
        <v>82</v>
      </c>
      <c r="H73">
        <v>31</v>
      </c>
      <c r="I73" t="s">
        <v>26</v>
      </c>
      <c r="J73">
        <v>1</v>
      </c>
      <c r="K73" s="4">
        <v>2600</v>
      </c>
      <c r="L73" s="4">
        <v>2600</v>
      </c>
    </row>
    <row r="74" spans="1:2" ht="12.75">
      <c r="A74" t="s">
        <v>47</v>
      </c>
      <c r="B74">
        <f>SUM(L60:L73)</f>
        <v>31810.45</v>
      </c>
    </row>
    <row r="76" ht="12.75">
      <c r="A76" t="str">
        <f>"1511 - Generalni sekretariat vlade, verzija: 1"</f>
        <v>1511 - Generalni sekretariat vlade, verzija: 1</v>
      </c>
    </row>
    <row r="77" spans="2:13" ht="12.75">
      <c r="B77" t="s">
        <v>3</v>
      </c>
      <c r="D77" t="s">
        <v>4</v>
      </c>
      <c r="F77" t="s">
        <v>5</v>
      </c>
      <c r="H77" t="s">
        <v>6</v>
      </c>
      <c r="J77" t="s">
        <v>7</v>
      </c>
      <c r="K77" s="4" t="s">
        <v>8</v>
      </c>
      <c r="L77" s="4" t="s">
        <v>9</v>
      </c>
      <c r="M77" t="s">
        <v>10</v>
      </c>
    </row>
    <row r="78" spans="2:12" ht="12.75">
      <c r="B78" t="str">
        <f>"1309"</f>
        <v>1309</v>
      </c>
      <c r="C78" t="s">
        <v>84</v>
      </c>
      <c r="D78">
        <v>402513</v>
      </c>
      <c r="E78" t="s">
        <v>85</v>
      </c>
      <c r="F78">
        <v>410001</v>
      </c>
      <c r="G78" t="s">
        <v>13</v>
      </c>
      <c r="H78">
        <v>41</v>
      </c>
      <c r="I78" t="s">
        <v>14</v>
      </c>
      <c r="J78">
        <v>1</v>
      </c>
      <c r="K78" s="4">
        <v>132474.71</v>
      </c>
      <c r="L78" s="4">
        <v>132474.71</v>
      </c>
    </row>
    <row r="79" spans="2:12" ht="12.75">
      <c r="B79" t="str">
        <f>"1309"</f>
        <v>1309</v>
      </c>
      <c r="C79" t="s">
        <v>84</v>
      </c>
      <c r="D79">
        <v>402513</v>
      </c>
      <c r="E79" t="s">
        <v>85</v>
      </c>
      <c r="F79">
        <v>410001</v>
      </c>
      <c r="G79" t="s">
        <v>13</v>
      </c>
      <c r="H79">
        <v>41</v>
      </c>
      <c r="I79" t="s">
        <v>14</v>
      </c>
      <c r="J79">
        <v>1</v>
      </c>
      <c r="K79" s="4">
        <v>112969.45</v>
      </c>
      <c r="L79" s="4">
        <v>112969.45</v>
      </c>
    </row>
    <row r="80" spans="2:12" ht="12.75">
      <c r="B80" t="str">
        <f>"1309"</f>
        <v>1309</v>
      </c>
      <c r="C80" t="s">
        <v>84</v>
      </c>
      <c r="D80">
        <v>420704</v>
      </c>
      <c r="E80" t="s">
        <v>24</v>
      </c>
      <c r="F80">
        <v>410002</v>
      </c>
      <c r="G80" t="s">
        <v>86</v>
      </c>
      <c r="H80">
        <v>41</v>
      </c>
      <c r="I80" t="s">
        <v>14</v>
      </c>
      <c r="J80">
        <v>1</v>
      </c>
      <c r="K80" s="4">
        <v>84585.21</v>
      </c>
      <c r="L80" s="4">
        <v>84585.21</v>
      </c>
    </row>
    <row r="81" spans="2:12" ht="12.75">
      <c r="B81" t="str">
        <f>"1309"</f>
        <v>1309</v>
      </c>
      <c r="C81" t="s">
        <v>84</v>
      </c>
      <c r="D81">
        <v>420704</v>
      </c>
      <c r="E81" t="s">
        <v>24</v>
      </c>
      <c r="F81">
        <v>410002</v>
      </c>
      <c r="G81" t="s">
        <v>86</v>
      </c>
      <c r="H81">
        <v>41</v>
      </c>
      <c r="I81" t="s">
        <v>14</v>
      </c>
      <c r="J81">
        <v>1</v>
      </c>
      <c r="K81" s="4">
        <v>99355.2</v>
      </c>
      <c r="L81" s="4">
        <v>99355.2</v>
      </c>
    </row>
    <row r="82" spans="2:12" ht="12.75">
      <c r="B82" t="str">
        <f aca="true" t="shared" si="3" ref="B82:B92">"1554"</f>
        <v>1554</v>
      </c>
      <c r="C82" t="s">
        <v>27</v>
      </c>
      <c r="D82">
        <v>420202</v>
      </c>
      <c r="E82" t="s">
        <v>19</v>
      </c>
      <c r="F82">
        <v>10002</v>
      </c>
      <c r="G82" t="s">
        <v>20</v>
      </c>
      <c r="H82">
        <v>1</v>
      </c>
      <c r="I82" t="s">
        <v>21</v>
      </c>
      <c r="J82">
        <v>80</v>
      </c>
      <c r="K82" s="4">
        <v>834.58</v>
      </c>
      <c r="L82" s="4">
        <v>66766.4</v>
      </c>
    </row>
    <row r="83" spans="2:12" ht="12.75">
      <c r="B83" t="str">
        <f t="shared" si="3"/>
        <v>1554</v>
      </c>
      <c r="C83" t="s">
        <v>27</v>
      </c>
      <c r="D83">
        <v>420202</v>
      </c>
      <c r="E83" t="s">
        <v>19</v>
      </c>
      <c r="F83">
        <v>10003</v>
      </c>
      <c r="G83" t="s">
        <v>28</v>
      </c>
      <c r="H83">
        <v>1</v>
      </c>
      <c r="I83" t="s">
        <v>21</v>
      </c>
      <c r="J83">
        <v>20</v>
      </c>
      <c r="K83" s="4">
        <v>1168.41</v>
      </c>
      <c r="L83" s="4">
        <v>23368.2</v>
      </c>
    </row>
    <row r="84" spans="2:12" ht="12.75">
      <c r="B84" t="str">
        <f t="shared" si="3"/>
        <v>1554</v>
      </c>
      <c r="C84" t="s">
        <v>27</v>
      </c>
      <c r="D84">
        <v>420202</v>
      </c>
      <c r="E84" t="s">
        <v>19</v>
      </c>
      <c r="F84">
        <v>20001</v>
      </c>
      <c r="G84" t="s">
        <v>29</v>
      </c>
      <c r="H84">
        <v>2</v>
      </c>
      <c r="I84" t="s">
        <v>30</v>
      </c>
      <c r="J84">
        <v>10</v>
      </c>
      <c r="K84" s="4">
        <v>2503.75</v>
      </c>
      <c r="L84" s="4">
        <v>25037.5</v>
      </c>
    </row>
    <row r="85" spans="2:12" ht="12.75">
      <c r="B85" t="str">
        <f t="shared" si="3"/>
        <v>1554</v>
      </c>
      <c r="C85" t="s">
        <v>27</v>
      </c>
      <c r="D85">
        <v>420202</v>
      </c>
      <c r="E85" t="s">
        <v>19</v>
      </c>
      <c r="F85">
        <v>20002</v>
      </c>
      <c r="G85" t="s">
        <v>58</v>
      </c>
      <c r="H85">
        <v>2</v>
      </c>
      <c r="I85" t="s">
        <v>30</v>
      </c>
      <c r="J85">
        <v>5</v>
      </c>
      <c r="K85" s="4">
        <v>3129.69</v>
      </c>
      <c r="L85" s="4">
        <v>15648.45</v>
      </c>
    </row>
    <row r="86" spans="2:12" ht="12.75">
      <c r="B86" t="str">
        <f t="shared" si="3"/>
        <v>1554</v>
      </c>
      <c r="C86" t="s">
        <v>27</v>
      </c>
      <c r="D86">
        <v>420202</v>
      </c>
      <c r="E86" t="s">
        <v>19</v>
      </c>
      <c r="F86">
        <v>40001</v>
      </c>
      <c r="G86" t="s">
        <v>59</v>
      </c>
      <c r="H86">
        <v>4</v>
      </c>
      <c r="I86" t="s">
        <v>23</v>
      </c>
      <c r="J86">
        <v>40</v>
      </c>
      <c r="K86" s="4">
        <v>417.29</v>
      </c>
      <c r="L86" s="4">
        <v>16691.6</v>
      </c>
    </row>
    <row r="87" spans="2:12" ht="12.75">
      <c r="B87" t="str">
        <f t="shared" si="3"/>
        <v>1554</v>
      </c>
      <c r="C87" t="s">
        <v>27</v>
      </c>
      <c r="D87">
        <v>420202</v>
      </c>
      <c r="E87" t="s">
        <v>19</v>
      </c>
      <c r="F87">
        <v>60002</v>
      </c>
      <c r="G87" t="s">
        <v>31</v>
      </c>
      <c r="H87">
        <v>6</v>
      </c>
      <c r="I87" t="s">
        <v>32</v>
      </c>
      <c r="J87">
        <v>10</v>
      </c>
      <c r="K87" s="4">
        <v>500.75</v>
      </c>
      <c r="L87" s="4">
        <v>5007.5</v>
      </c>
    </row>
    <row r="88" spans="2:12" ht="12.75">
      <c r="B88" t="str">
        <f t="shared" si="3"/>
        <v>1554</v>
      </c>
      <c r="C88" t="s">
        <v>27</v>
      </c>
      <c r="D88">
        <v>420202</v>
      </c>
      <c r="E88" t="s">
        <v>19</v>
      </c>
      <c r="F88">
        <v>60002</v>
      </c>
      <c r="G88" t="s">
        <v>31</v>
      </c>
      <c r="H88">
        <v>6</v>
      </c>
      <c r="I88" t="s">
        <v>32</v>
      </c>
      <c r="J88">
        <v>5</v>
      </c>
      <c r="K88" s="4">
        <v>2086.46</v>
      </c>
      <c r="L88" s="4">
        <v>10432.3</v>
      </c>
    </row>
    <row r="89" spans="2:12" ht="12.75">
      <c r="B89" t="str">
        <f t="shared" si="3"/>
        <v>1554</v>
      </c>
      <c r="C89" t="s">
        <v>27</v>
      </c>
      <c r="D89">
        <v>420222</v>
      </c>
      <c r="E89" t="s">
        <v>60</v>
      </c>
      <c r="F89">
        <v>190008</v>
      </c>
      <c r="G89" t="s">
        <v>87</v>
      </c>
      <c r="H89">
        <v>19</v>
      </c>
      <c r="I89" t="s">
        <v>62</v>
      </c>
      <c r="J89">
        <v>1</v>
      </c>
      <c r="K89" s="4">
        <v>41729.26</v>
      </c>
      <c r="L89" s="4">
        <v>41729.26</v>
      </c>
    </row>
    <row r="90" spans="2:12" ht="12.75">
      <c r="B90" t="str">
        <f t="shared" si="3"/>
        <v>1554</v>
      </c>
      <c r="C90" t="s">
        <v>27</v>
      </c>
      <c r="D90">
        <v>420703</v>
      </c>
      <c r="E90" t="s">
        <v>51</v>
      </c>
      <c r="F90">
        <v>310005</v>
      </c>
      <c r="G90" t="s">
        <v>46</v>
      </c>
      <c r="H90">
        <v>31</v>
      </c>
      <c r="I90" t="s">
        <v>26</v>
      </c>
      <c r="J90">
        <v>1</v>
      </c>
      <c r="K90" s="4">
        <v>31699.83</v>
      </c>
      <c r="L90" s="4">
        <v>31699.83</v>
      </c>
    </row>
    <row r="91" spans="2:12" ht="12.75">
      <c r="B91" t="str">
        <f t="shared" si="3"/>
        <v>1554</v>
      </c>
      <c r="C91" t="s">
        <v>27</v>
      </c>
      <c r="D91">
        <v>420704</v>
      </c>
      <c r="E91" t="s">
        <v>24</v>
      </c>
      <c r="F91">
        <v>310002</v>
      </c>
      <c r="G91" t="s">
        <v>86</v>
      </c>
      <c r="H91">
        <v>31</v>
      </c>
      <c r="I91" t="s">
        <v>26</v>
      </c>
      <c r="J91">
        <v>1</v>
      </c>
      <c r="K91" s="4">
        <v>33383.41</v>
      </c>
      <c r="L91" s="4">
        <v>33383.41</v>
      </c>
    </row>
    <row r="92" spans="2:12" ht="12.75">
      <c r="B92" t="str">
        <f t="shared" si="3"/>
        <v>1554</v>
      </c>
      <c r="C92" t="s">
        <v>27</v>
      </c>
      <c r="D92">
        <v>420704</v>
      </c>
      <c r="E92" t="s">
        <v>24</v>
      </c>
      <c r="F92">
        <v>410002</v>
      </c>
      <c r="G92" t="s">
        <v>86</v>
      </c>
      <c r="H92">
        <v>41</v>
      </c>
      <c r="I92" t="s">
        <v>14</v>
      </c>
      <c r="J92">
        <v>1</v>
      </c>
      <c r="K92" s="4">
        <v>1251.88</v>
      </c>
      <c r="L92" s="4">
        <v>1251.88</v>
      </c>
    </row>
    <row r="93" spans="2:12" ht="12.75">
      <c r="B93" t="str">
        <f aca="true" t="shared" si="4" ref="B93:B105">"1607"</f>
        <v>1607</v>
      </c>
      <c r="C93" t="s">
        <v>40</v>
      </c>
      <c r="D93">
        <v>402510</v>
      </c>
      <c r="E93" t="s">
        <v>12</v>
      </c>
      <c r="F93">
        <v>450005</v>
      </c>
      <c r="G93" t="s">
        <v>42</v>
      </c>
      <c r="H93">
        <v>45</v>
      </c>
      <c r="I93" t="s">
        <v>43</v>
      </c>
      <c r="J93">
        <v>1</v>
      </c>
      <c r="K93" s="4">
        <v>4173.75</v>
      </c>
      <c r="L93" s="4">
        <v>4173.75</v>
      </c>
    </row>
    <row r="94" spans="2:12" ht="12.75">
      <c r="B94" t="str">
        <f t="shared" si="4"/>
        <v>1607</v>
      </c>
      <c r="C94" t="s">
        <v>40</v>
      </c>
      <c r="D94">
        <v>402513</v>
      </c>
      <c r="E94" t="s">
        <v>85</v>
      </c>
      <c r="F94">
        <v>410001</v>
      </c>
      <c r="G94" t="s">
        <v>13</v>
      </c>
      <c r="H94">
        <v>41</v>
      </c>
      <c r="I94" t="s">
        <v>14</v>
      </c>
      <c r="J94">
        <v>1</v>
      </c>
      <c r="K94" s="4">
        <v>4172.93</v>
      </c>
      <c r="L94" s="4">
        <v>4172.93</v>
      </c>
    </row>
    <row r="95" spans="2:12" ht="12.75">
      <c r="B95" t="str">
        <f t="shared" si="4"/>
        <v>1607</v>
      </c>
      <c r="C95" t="s">
        <v>40</v>
      </c>
      <c r="D95">
        <v>402514</v>
      </c>
      <c r="E95" t="s">
        <v>45</v>
      </c>
      <c r="F95">
        <v>350001</v>
      </c>
      <c r="G95" t="s">
        <v>16</v>
      </c>
      <c r="H95">
        <v>35</v>
      </c>
      <c r="I95" t="s">
        <v>17</v>
      </c>
      <c r="J95">
        <v>1</v>
      </c>
      <c r="K95" s="4">
        <v>4172.93</v>
      </c>
      <c r="L95" s="4">
        <v>4172.93</v>
      </c>
    </row>
    <row r="96" spans="2:12" ht="12.75">
      <c r="B96" t="str">
        <f t="shared" si="4"/>
        <v>1607</v>
      </c>
      <c r="C96" t="s">
        <v>40</v>
      </c>
      <c r="D96">
        <v>402514</v>
      </c>
      <c r="E96" t="s">
        <v>45</v>
      </c>
      <c r="F96">
        <v>350002</v>
      </c>
      <c r="G96" t="s">
        <v>88</v>
      </c>
      <c r="H96">
        <v>35</v>
      </c>
      <c r="I96" t="s">
        <v>17</v>
      </c>
      <c r="J96">
        <v>1</v>
      </c>
      <c r="K96" s="4">
        <v>4172.93</v>
      </c>
      <c r="L96" s="4">
        <v>4172.93</v>
      </c>
    </row>
    <row r="97" spans="2:12" ht="12.75">
      <c r="B97" t="str">
        <f t="shared" si="4"/>
        <v>1607</v>
      </c>
      <c r="C97" t="s">
        <v>40</v>
      </c>
      <c r="D97">
        <v>402514</v>
      </c>
      <c r="E97" t="s">
        <v>45</v>
      </c>
      <c r="F97">
        <v>350003</v>
      </c>
      <c r="G97" t="s">
        <v>44</v>
      </c>
      <c r="H97">
        <v>35</v>
      </c>
      <c r="I97" t="s">
        <v>17</v>
      </c>
      <c r="J97">
        <v>1</v>
      </c>
      <c r="K97" s="4">
        <v>4172.93</v>
      </c>
      <c r="L97" s="4">
        <v>4172.93</v>
      </c>
    </row>
    <row r="98" spans="2:12" ht="12.75">
      <c r="B98" t="str">
        <f t="shared" si="4"/>
        <v>1607</v>
      </c>
      <c r="C98" t="s">
        <v>40</v>
      </c>
      <c r="D98">
        <v>402514</v>
      </c>
      <c r="E98" t="s">
        <v>45</v>
      </c>
      <c r="F98">
        <v>400014</v>
      </c>
      <c r="G98" t="s">
        <v>38</v>
      </c>
      <c r="H98">
        <v>40</v>
      </c>
      <c r="I98" t="s">
        <v>50</v>
      </c>
      <c r="J98">
        <v>1</v>
      </c>
      <c r="K98" s="4">
        <v>20864.63</v>
      </c>
      <c r="L98" s="4">
        <v>20864.63</v>
      </c>
    </row>
    <row r="99" spans="2:12" ht="12.75">
      <c r="B99" t="str">
        <f t="shared" si="4"/>
        <v>1607</v>
      </c>
      <c r="C99" t="s">
        <v>40</v>
      </c>
      <c r="D99">
        <v>402515</v>
      </c>
      <c r="E99" t="s">
        <v>15</v>
      </c>
      <c r="F99">
        <v>400001</v>
      </c>
      <c r="G99" t="s">
        <v>21</v>
      </c>
      <c r="H99">
        <v>40</v>
      </c>
      <c r="I99" t="s">
        <v>50</v>
      </c>
      <c r="J99">
        <v>1</v>
      </c>
      <c r="K99" s="4">
        <v>2086.46</v>
      </c>
      <c r="L99" s="4">
        <v>2086.46</v>
      </c>
    </row>
    <row r="100" spans="2:12" ht="12.75">
      <c r="B100" t="str">
        <f t="shared" si="4"/>
        <v>1607</v>
      </c>
      <c r="C100" t="s">
        <v>40</v>
      </c>
      <c r="D100">
        <v>402515</v>
      </c>
      <c r="E100" t="s">
        <v>15</v>
      </c>
      <c r="F100">
        <v>400002</v>
      </c>
      <c r="G100" t="s">
        <v>30</v>
      </c>
      <c r="H100">
        <v>40</v>
      </c>
      <c r="I100" t="s">
        <v>50</v>
      </c>
      <c r="J100">
        <v>1</v>
      </c>
      <c r="K100" s="4">
        <v>2086.46</v>
      </c>
      <c r="L100" s="4">
        <v>2086.46</v>
      </c>
    </row>
    <row r="101" spans="2:12" ht="12.75">
      <c r="B101" t="str">
        <f t="shared" si="4"/>
        <v>1607</v>
      </c>
      <c r="C101" t="s">
        <v>40</v>
      </c>
      <c r="D101">
        <v>402515</v>
      </c>
      <c r="E101" t="s">
        <v>15</v>
      </c>
      <c r="F101">
        <v>400004</v>
      </c>
      <c r="G101" t="s">
        <v>23</v>
      </c>
      <c r="H101">
        <v>40</v>
      </c>
      <c r="I101" t="s">
        <v>50</v>
      </c>
      <c r="J101">
        <v>1</v>
      </c>
      <c r="K101" s="4">
        <v>2086.46</v>
      </c>
      <c r="L101" s="4">
        <v>2086.46</v>
      </c>
    </row>
    <row r="102" spans="2:12" ht="12.75">
      <c r="B102" t="str">
        <f t="shared" si="4"/>
        <v>1607</v>
      </c>
      <c r="C102" t="s">
        <v>40</v>
      </c>
      <c r="D102">
        <v>402515</v>
      </c>
      <c r="E102" t="s">
        <v>15</v>
      </c>
      <c r="F102">
        <v>400005</v>
      </c>
      <c r="G102" t="s">
        <v>89</v>
      </c>
      <c r="H102">
        <v>40</v>
      </c>
      <c r="I102" t="s">
        <v>50</v>
      </c>
      <c r="J102">
        <v>1</v>
      </c>
      <c r="K102" s="4">
        <v>2086.46</v>
      </c>
      <c r="L102" s="4">
        <v>2086.46</v>
      </c>
    </row>
    <row r="103" spans="2:12" ht="12.75">
      <c r="B103" t="str">
        <f t="shared" si="4"/>
        <v>1607</v>
      </c>
      <c r="C103" t="s">
        <v>40</v>
      </c>
      <c r="D103">
        <v>402515</v>
      </c>
      <c r="E103" t="s">
        <v>15</v>
      </c>
      <c r="F103">
        <v>400006</v>
      </c>
      <c r="G103" t="s">
        <v>32</v>
      </c>
      <c r="H103">
        <v>40</v>
      </c>
      <c r="I103" t="s">
        <v>50</v>
      </c>
      <c r="J103">
        <v>1</v>
      </c>
      <c r="K103" s="4">
        <v>2086.46</v>
      </c>
      <c r="L103" s="4">
        <v>2086.46</v>
      </c>
    </row>
    <row r="104" spans="2:12" ht="12.75">
      <c r="B104" t="str">
        <f t="shared" si="4"/>
        <v>1607</v>
      </c>
      <c r="C104" t="s">
        <v>40</v>
      </c>
      <c r="D104">
        <v>402515</v>
      </c>
      <c r="E104" t="s">
        <v>15</v>
      </c>
      <c r="F104">
        <v>400012</v>
      </c>
      <c r="G104" t="s">
        <v>90</v>
      </c>
      <c r="H104">
        <v>40</v>
      </c>
      <c r="I104" t="s">
        <v>50</v>
      </c>
      <c r="J104">
        <v>1</v>
      </c>
      <c r="K104" s="4">
        <v>2086.46</v>
      </c>
      <c r="L104" s="4">
        <v>2086.46</v>
      </c>
    </row>
    <row r="105" spans="2:13" ht="12.75">
      <c r="B105" t="str">
        <f t="shared" si="4"/>
        <v>1607</v>
      </c>
      <c r="C105" t="s">
        <v>40</v>
      </c>
      <c r="D105">
        <v>402607</v>
      </c>
      <c r="E105" t="s">
        <v>91</v>
      </c>
      <c r="F105">
        <v>310009</v>
      </c>
      <c r="G105" t="s">
        <v>25</v>
      </c>
      <c r="H105">
        <v>31</v>
      </c>
      <c r="I105" t="s">
        <v>26</v>
      </c>
      <c r="J105">
        <v>1</v>
      </c>
      <c r="K105" s="4">
        <v>16691.7</v>
      </c>
      <c r="L105" s="4">
        <v>16691.7</v>
      </c>
      <c r="M105" t="s">
        <v>92</v>
      </c>
    </row>
    <row r="106" spans="1:2" ht="12.75">
      <c r="A106" t="s">
        <v>47</v>
      </c>
      <c r="B106">
        <f>SUM(L78:L105)</f>
        <v>771341.4599999998</v>
      </c>
    </row>
    <row r="108" ht="12.75">
      <c r="A108" t="str">
        <f>"1512 - Protokol v vladi Republike Slovenije, verzija: 1"</f>
        <v>1512 - Protokol v vladi Republike Slovenije, verzija: 1</v>
      </c>
    </row>
    <row r="109" spans="2:13" ht="12.75">
      <c r="B109" t="s">
        <v>3</v>
      </c>
      <c r="D109" t="s">
        <v>4</v>
      </c>
      <c r="F109" t="s">
        <v>5</v>
      </c>
      <c r="H109" t="s">
        <v>6</v>
      </c>
      <c r="J109" t="s">
        <v>7</v>
      </c>
      <c r="K109" s="4" t="s">
        <v>8</v>
      </c>
      <c r="L109" s="4" t="s">
        <v>9</v>
      </c>
      <c r="M109" t="s">
        <v>10</v>
      </c>
    </row>
    <row r="110" spans="2:12" ht="12.75">
      <c r="B110" t="str">
        <f>"3329"</f>
        <v>3329</v>
      </c>
      <c r="C110" t="s">
        <v>40</v>
      </c>
      <c r="D110">
        <v>402510</v>
      </c>
      <c r="E110" t="s">
        <v>12</v>
      </c>
      <c r="F110">
        <v>400001</v>
      </c>
      <c r="G110" t="s">
        <v>21</v>
      </c>
      <c r="H110">
        <v>40</v>
      </c>
      <c r="I110" t="s">
        <v>50</v>
      </c>
      <c r="J110">
        <v>1</v>
      </c>
      <c r="K110" s="4">
        <v>2700</v>
      </c>
      <c r="L110" s="4">
        <v>2700</v>
      </c>
    </row>
    <row r="111" spans="1:2" ht="12.75">
      <c r="A111" t="s">
        <v>47</v>
      </c>
      <c r="B111">
        <f>SUM(L110:L110)</f>
        <v>2700</v>
      </c>
    </row>
    <row r="113" ht="12.75">
      <c r="A113" t="str">
        <f>"1515 - Urad za enake možnosti, verzija: 1"</f>
        <v>1515 - Urad za enake možnosti, verzija: 1</v>
      </c>
    </row>
    <row r="114" spans="2:13" ht="12.75">
      <c r="B114" t="s">
        <v>3</v>
      </c>
      <c r="D114" t="s">
        <v>4</v>
      </c>
      <c r="F114" t="s">
        <v>5</v>
      </c>
      <c r="H114" t="s">
        <v>6</v>
      </c>
      <c r="J114" t="s">
        <v>7</v>
      </c>
      <c r="K114" s="4" t="s">
        <v>8</v>
      </c>
      <c r="L114" s="4" t="s">
        <v>9</v>
      </c>
      <c r="M114" t="s">
        <v>10</v>
      </c>
    </row>
    <row r="115" spans="2:12" ht="12.75">
      <c r="B115" t="str">
        <f aca="true" t="shared" si="5" ref="B115:B120">"1060"</f>
        <v>1060</v>
      </c>
      <c r="C115" t="s">
        <v>27</v>
      </c>
      <c r="D115">
        <v>420202</v>
      </c>
      <c r="E115" t="s">
        <v>19</v>
      </c>
      <c r="F115">
        <v>10004</v>
      </c>
      <c r="G115" t="s">
        <v>25</v>
      </c>
      <c r="H115">
        <v>1</v>
      </c>
      <c r="I115" t="s">
        <v>21</v>
      </c>
      <c r="J115">
        <v>2</v>
      </c>
      <c r="K115" s="4">
        <v>550</v>
      </c>
      <c r="L115" s="4">
        <v>1100</v>
      </c>
    </row>
    <row r="116" spans="2:12" ht="12.75">
      <c r="B116" t="str">
        <f t="shared" si="5"/>
        <v>1060</v>
      </c>
      <c r="C116" t="s">
        <v>27</v>
      </c>
      <c r="D116">
        <v>420202</v>
      </c>
      <c r="E116" t="s">
        <v>19</v>
      </c>
      <c r="F116">
        <v>20003</v>
      </c>
      <c r="G116" t="s">
        <v>25</v>
      </c>
      <c r="H116">
        <v>2</v>
      </c>
      <c r="I116" t="s">
        <v>30</v>
      </c>
      <c r="J116">
        <v>1</v>
      </c>
      <c r="K116" s="4">
        <v>1000</v>
      </c>
      <c r="L116" s="4">
        <v>1000</v>
      </c>
    </row>
    <row r="117" spans="2:12" ht="12.75">
      <c r="B117" t="str">
        <f t="shared" si="5"/>
        <v>1060</v>
      </c>
      <c r="C117" t="s">
        <v>27</v>
      </c>
      <c r="D117">
        <v>420202</v>
      </c>
      <c r="E117" t="s">
        <v>19</v>
      </c>
      <c r="F117">
        <v>40005</v>
      </c>
      <c r="G117" t="s">
        <v>25</v>
      </c>
      <c r="H117">
        <v>4</v>
      </c>
      <c r="I117" t="s">
        <v>23</v>
      </c>
      <c r="J117">
        <v>2</v>
      </c>
      <c r="K117" s="4">
        <v>300</v>
      </c>
      <c r="L117" s="4">
        <v>600</v>
      </c>
    </row>
    <row r="118" spans="2:12" ht="12.75">
      <c r="B118" t="str">
        <f t="shared" si="5"/>
        <v>1060</v>
      </c>
      <c r="C118" t="s">
        <v>27</v>
      </c>
      <c r="D118">
        <v>420202</v>
      </c>
      <c r="E118" t="s">
        <v>19</v>
      </c>
      <c r="F118">
        <v>50002</v>
      </c>
      <c r="G118" t="s">
        <v>93</v>
      </c>
      <c r="H118">
        <v>5</v>
      </c>
      <c r="I118" t="s">
        <v>89</v>
      </c>
      <c r="J118">
        <v>1</v>
      </c>
      <c r="K118" s="4">
        <v>2000</v>
      </c>
      <c r="L118" s="4">
        <v>2000</v>
      </c>
    </row>
    <row r="119" spans="2:12" ht="12.75">
      <c r="B119" t="str">
        <f t="shared" si="5"/>
        <v>1060</v>
      </c>
      <c r="C119" t="s">
        <v>27</v>
      </c>
      <c r="D119">
        <v>420202</v>
      </c>
      <c r="E119" t="s">
        <v>19</v>
      </c>
      <c r="F119">
        <v>410007</v>
      </c>
      <c r="G119" t="s">
        <v>25</v>
      </c>
      <c r="H119">
        <v>41</v>
      </c>
      <c r="I119" t="s">
        <v>14</v>
      </c>
      <c r="J119">
        <v>1</v>
      </c>
      <c r="K119" s="4">
        <v>500</v>
      </c>
      <c r="L119" s="4">
        <v>500</v>
      </c>
    </row>
    <row r="120" spans="2:12" ht="12.75">
      <c r="B120" t="str">
        <f t="shared" si="5"/>
        <v>1060</v>
      </c>
      <c r="C120" t="s">
        <v>27</v>
      </c>
      <c r="D120">
        <v>420238</v>
      </c>
      <c r="E120" t="s">
        <v>34</v>
      </c>
      <c r="F120">
        <v>310007</v>
      </c>
      <c r="G120" t="s">
        <v>82</v>
      </c>
      <c r="H120">
        <v>31</v>
      </c>
      <c r="I120" t="s">
        <v>26</v>
      </c>
      <c r="J120">
        <v>3</v>
      </c>
      <c r="K120" s="4">
        <v>100</v>
      </c>
      <c r="L120" s="4">
        <v>300</v>
      </c>
    </row>
    <row r="121" spans="1:2" ht="12.75">
      <c r="A121" t="s">
        <v>47</v>
      </c>
      <c r="B121">
        <f>SUM(L115:L120)</f>
        <v>5500</v>
      </c>
    </row>
    <row r="123" ht="12.75">
      <c r="A123" t="str">
        <f>"1516 - Urad za narodnosti vlade Republike Slovenije, verzija: 1"</f>
        <v>1516 - Urad za narodnosti vlade Republike Slovenije, verzija: 1</v>
      </c>
    </row>
    <row r="124" spans="2:13" ht="12.75">
      <c r="B124" t="s">
        <v>3</v>
      </c>
      <c r="D124" t="s">
        <v>4</v>
      </c>
      <c r="F124" t="s">
        <v>5</v>
      </c>
      <c r="H124" t="s">
        <v>6</v>
      </c>
      <c r="J124" t="s">
        <v>7</v>
      </c>
      <c r="K124" s="4" t="s">
        <v>8</v>
      </c>
      <c r="L124" s="4" t="s">
        <v>9</v>
      </c>
      <c r="M124" t="s">
        <v>10</v>
      </c>
    </row>
    <row r="125" spans="2:12" ht="12.75">
      <c r="B125" t="str">
        <f>"2831"</f>
        <v>2831</v>
      </c>
      <c r="C125" t="s">
        <v>27</v>
      </c>
      <c r="D125">
        <v>420202</v>
      </c>
      <c r="E125" t="s">
        <v>19</v>
      </c>
      <c r="F125">
        <v>300001</v>
      </c>
      <c r="G125" t="s">
        <v>25</v>
      </c>
      <c r="H125">
        <v>30</v>
      </c>
      <c r="I125" t="s">
        <v>94</v>
      </c>
      <c r="J125">
        <v>1</v>
      </c>
      <c r="K125" s="4">
        <v>5377</v>
      </c>
      <c r="L125" s="4">
        <v>5377</v>
      </c>
    </row>
    <row r="126" spans="2:12" ht="12.75">
      <c r="B126" t="str">
        <f>"2831"</f>
        <v>2831</v>
      </c>
      <c r="C126" t="s">
        <v>27</v>
      </c>
      <c r="D126">
        <v>420238</v>
      </c>
      <c r="E126" t="s">
        <v>34</v>
      </c>
      <c r="F126">
        <v>300001</v>
      </c>
      <c r="G126" t="s">
        <v>25</v>
      </c>
      <c r="H126">
        <v>30</v>
      </c>
      <c r="I126" t="s">
        <v>94</v>
      </c>
      <c r="J126">
        <v>1</v>
      </c>
      <c r="K126" s="4">
        <v>4282</v>
      </c>
      <c r="L126" s="4">
        <v>4282</v>
      </c>
    </row>
    <row r="127" spans="2:13" ht="12.75">
      <c r="B127" t="str">
        <f>"2831"</f>
        <v>2831</v>
      </c>
      <c r="C127" t="s">
        <v>27</v>
      </c>
      <c r="D127">
        <v>420704</v>
      </c>
      <c r="E127" t="s">
        <v>24</v>
      </c>
      <c r="F127">
        <v>410007</v>
      </c>
      <c r="G127" t="s">
        <v>25</v>
      </c>
      <c r="H127">
        <v>41</v>
      </c>
      <c r="I127" t="s">
        <v>14</v>
      </c>
      <c r="J127">
        <v>1</v>
      </c>
      <c r="K127" s="4">
        <v>4536</v>
      </c>
      <c r="L127" s="4">
        <v>4536</v>
      </c>
      <c r="M127" t="s">
        <v>95</v>
      </c>
    </row>
    <row r="128" spans="2:12" ht="12.75">
      <c r="B128" t="str">
        <f aca="true" t="shared" si="6" ref="B128:B133">"3327"</f>
        <v>3327</v>
      </c>
      <c r="C128" t="s">
        <v>40</v>
      </c>
      <c r="D128">
        <v>402007</v>
      </c>
      <c r="E128" t="s">
        <v>41</v>
      </c>
      <c r="F128">
        <v>350005</v>
      </c>
      <c r="G128" t="s">
        <v>96</v>
      </c>
      <c r="H128">
        <v>35</v>
      </c>
      <c r="I128" t="s">
        <v>17</v>
      </c>
      <c r="J128">
        <v>1</v>
      </c>
      <c r="K128" s="4">
        <v>1878</v>
      </c>
      <c r="L128" s="4">
        <v>1878</v>
      </c>
    </row>
    <row r="129" spans="2:12" ht="12.75">
      <c r="B129" t="str">
        <f t="shared" si="6"/>
        <v>3327</v>
      </c>
      <c r="C129" t="s">
        <v>40</v>
      </c>
      <c r="D129">
        <v>402510</v>
      </c>
      <c r="E129" t="s">
        <v>12</v>
      </c>
      <c r="F129">
        <v>350011</v>
      </c>
      <c r="G129" t="s">
        <v>25</v>
      </c>
      <c r="H129">
        <v>35</v>
      </c>
      <c r="I129" t="s">
        <v>17</v>
      </c>
      <c r="J129">
        <v>1</v>
      </c>
      <c r="K129" s="4">
        <v>170</v>
      </c>
      <c r="L129" s="4">
        <v>170</v>
      </c>
    </row>
    <row r="130" spans="2:12" ht="12.75">
      <c r="B130" t="str">
        <f t="shared" si="6"/>
        <v>3327</v>
      </c>
      <c r="C130" t="s">
        <v>40</v>
      </c>
      <c r="D130">
        <v>402515</v>
      </c>
      <c r="E130" t="s">
        <v>15</v>
      </c>
      <c r="F130">
        <v>400024</v>
      </c>
      <c r="G130" t="s">
        <v>25</v>
      </c>
      <c r="H130">
        <v>40</v>
      </c>
      <c r="I130" t="s">
        <v>50</v>
      </c>
      <c r="J130">
        <v>1</v>
      </c>
      <c r="K130" s="4">
        <v>120</v>
      </c>
      <c r="L130" s="4">
        <v>120</v>
      </c>
    </row>
    <row r="131" spans="2:12" ht="12.75">
      <c r="B131" t="str">
        <f t="shared" si="6"/>
        <v>3327</v>
      </c>
      <c r="C131" t="s">
        <v>40</v>
      </c>
      <c r="D131">
        <v>402604</v>
      </c>
      <c r="E131" t="s">
        <v>97</v>
      </c>
      <c r="F131">
        <v>400023</v>
      </c>
      <c r="G131" t="s">
        <v>94</v>
      </c>
      <c r="H131">
        <v>40</v>
      </c>
      <c r="I131" t="s">
        <v>50</v>
      </c>
      <c r="J131">
        <v>1</v>
      </c>
      <c r="K131" s="4">
        <v>145</v>
      </c>
      <c r="L131" s="4">
        <v>145</v>
      </c>
    </row>
    <row r="132" spans="2:12" ht="12.75">
      <c r="B132" t="str">
        <f t="shared" si="6"/>
        <v>3327</v>
      </c>
      <c r="C132" t="s">
        <v>40</v>
      </c>
      <c r="D132">
        <v>402607</v>
      </c>
      <c r="E132" t="s">
        <v>91</v>
      </c>
      <c r="F132">
        <v>410007</v>
      </c>
      <c r="G132" t="s">
        <v>25</v>
      </c>
      <c r="H132">
        <v>41</v>
      </c>
      <c r="I132" t="s">
        <v>14</v>
      </c>
      <c r="J132">
        <v>1</v>
      </c>
      <c r="K132" s="4">
        <v>127</v>
      </c>
      <c r="L132" s="4">
        <v>127</v>
      </c>
    </row>
    <row r="133" spans="2:12" ht="12.75">
      <c r="B133" t="str">
        <f t="shared" si="6"/>
        <v>3327</v>
      </c>
      <c r="C133" t="s">
        <v>40</v>
      </c>
      <c r="D133">
        <v>402941</v>
      </c>
      <c r="E133" t="s">
        <v>98</v>
      </c>
      <c r="F133">
        <v>440006</v>
      </c>
      <c r="G133" t="s">
        <v>25</v>
      </c>
      <c r="H133">
        <v>44</v>
      </c>
      <c r="I133" t="s">
        <v>99</v>
      </c>
      <c r="J133">
        <v>1</v>
      </c>
      <c r="K133" s="4">
        <v>250</v>
      </c>
      <c r="L133" s="4">
        <v>250</v>
      </c>
    </row>
    <row r="134" spans="1:2" ht="12.75">
      <c r="A134" t="s">
        <v>47</v>
      </c>
      <c r="B134">
        <f>SUM(L125:L133)</f>
        <v>16885</v>
      </c>
    </row>
    <row r="136" ht="12.75">
      <c r="A136" t="str">
        <f>"1518 - Urad vlade za komuniciranje, verzija: 2"</f>
        <v>1518 - Urad vlade za komuniciranje, verzija: 2</v>
      </c>
    </row>
    <row r="137" spans="2:13" ht="12.75">
      <c r="B137" t="s">
        <v>3</v>
      </c>
      <c r="D137" t="s">
        <v>4</v>
      </c>
      <c r="F137" t="s">
        <v>5</v>
      </c>
      <c r="H137" t="s">
        <v>6</v>
      </c>
      <c r="J137" t="s">
        <v>7</v>
      </c>
      <c r="K137" s="4" t="s">
        <v>8</v>
      </c>
      <c r="L137" s="4" t="s">
        <v>9</v>
      </c>
      <c r="M137" t="s">
        <v>10</v>
      </c>
    </row>
    <row r="138" spans="2:13" ht="12.75">
      <c r="B138" t="str">
        <f>"1322"</f>
        <v>1322</v>
      </c>
      <c r="C138" t="s">
        <v>100</v>
      </c>
      <c r="D138">
        <v>402007</v>
      </c>
      <c r="E138" t="s">
        <v>41</v>
      </c>
      <c r="F138">
        <v>420004</v>
      </c>
      <c r="G138" t="s">
        <v>25</v>
      </c>
      <c r="H138">
        <v>42</v>
      </c>
      <c r="I138" t="s">
        <v>101</v>
      </c>
      <c r="J138">
        <v>1</v>
      </c>
      <c r="K138" s="4">
        <v>40866</v>
      </c>
      <c r="L138" s="4">
        <v>40866</v>
      </c>
      <c r="M138" t="s">
        <v>102</v>
      </c>
    </row>
    <row r="139" spans="2:13" ht="12.75">
      <c r="B139" t="str">
        <f>"2835"</f>
        <v>2835</v>
      </c>
      <c r="C139" t="s">
        <v>27</v>
      </c>
      <c r="D139">
        <v>420202</v>
      </c>
      <c r="E139" t="s">
        <v>19</v>
      </c>
      <c r="F139">
        <v>10002</v>
      </c>
      <c r="G139" t="s">
        <v>20</v>
      </c>
      <c r="H139">
        <v>1</v>
      </c>
      <c r="I139" t="s">
        <v>21</v>
      </c>
      <c r="J139">
        <v>1</v>
      </c>
      <c r="K139" s="4">
        <v>4800</v>
      </c>
      <c r="L139" s="4">
        <v>4800</v>
      </c>
      <c r="M139" t="s">
        <v>103</v>
      </c>
    </row>
    <row r="140" spans="2:13" ht="12.75">
      <c r="B140" t="str">
        <f>"2835"</f>
        <v>2835</v>
      </c>
      <c r="C140" t="s">
        <v>27</v>
      </c>
      <c r="D140">
        <v>420202</v>
      </c>
      <c r="E140" t="s">
        <v>19</v>
      </c>
      <c r="F140">
        <v>40002</v>
      </c>
      <c r="G140" t="s">
        <v>22</v>
      </c>
      <c r="H140">
        <v>4</v>
      </c>
      <c r="I140" t="s">
        <v>23</v>
      </c>
      <c r="J140">
        <v>1</v>
      </c>
      <c r="K140" s="4">
        <v>2210</v>
      </c>
      <c r="L140" s="4">
        <v>2210</v>
      </c>
      <c r="M140" t="s">
        <v>104</v>
      </c>
    </row>
    <row r="141" spans="2:13" ht="12.75">
      <c r="B141" t="str">
        <f>"2835"</f>
        <v>2835</v>
      </c>
      <c r="C141" t="s">
        <v>27</v>
      </c>
      <c r="D141">
        <v>420202</v>
      </c>
      <c r="E141" t="s">
        <v>19</v>
      </c>
      <c r="F141">
        <v>60002</v>
      </c>
      <c r="G141" t="s">
        <v>31</v>
      </c>
      <c r="H141">
        <v>6</v>
      </c>
      <c r="I141" t="s">
        <v>32</v>
      </c>
      <c r="J141">
        <v>1</v>
      </c>
      <c r="K141" s="4">
        <v>1252</v>
      </c>
      <c r="L141" s="4">
        <v>1252</v>
      </c>
      <c r="M141" t="s">
        <v>105</v>
      </c>
    </row>
    <row r="142" spans="2:13" ht="12.75">
      <c r="B142" t="str">
        <f>"3337"</f>
        <v>3337</v>
      </c>
      <c r="C142" t="s">
        <v>40</v>
      </c>
      <c r="D142">
        <v>402007</v>
      </c>
      <c r="E142" t="s">
        <v>41</v>
      </c>
      <c r="F142">
        <v>400001</v>
      </c>
      <c r="G142" t="s">
        <v>21</v>
      </c>
      <c r="H142">
        <v>40</v>
      </c>
      <c r="I142" t="s">
        <v>50</v>
      </c>
      <c r="J142">
        <v>1</v>
      </c>
      <c r="K142" s="4">
        <v>2500</v>
      </c>
      <c r="L142" s="4">
        <v>2500</v>
      </c>
      <c r="M142" t="s">
        <v>106</v>
      </c>
    </row>
    <row r="143" spans="2:13" ht="12.75">
      <c r="B143" t="str">
        <f>"3337"</f>
        <v>3337</v>
      </c>
      <c r="C143" t="s">
        <v>40</v>
      </c>
      <c r="D143">
        <v>402510</v>
      </c>
      <c r="E143" t="s">
        <v>12</v>
      </c>
      <c r="F143">
        <v>420004</v>
      </c>
      <c r="G143" t="s">
        <v>25</v>
      </c>
      <c r="H143">
        <v>42</v>
      </c>
      <c r="I143" t="s">
        <v>101</v>
      </c>
      <c r="J143">
        <v>1</v>
      </c>
      <c r="K143" s="4">
        <v>1189</v>
      </c>
      <c r="L143" s="4">
        <v>1189</v>
      </c>
      <c r="M143" t="s">
        <v>107</v>
      </c>
    </row>
    <row r="144" spans="2:13" ht="12.75">
      <c r="B144" t="str">
        <f>"3337"</f>
        <v>3337</v>
      </c>
      <c r="C144" t="s">
        <v>40</v>
      </c>
      <c r="D144">
        <v>402515</v>
      </c>
      <c r="E144" t="s">
        <v>15</v>
      </c>
      <c r="F144">
        <v>400001</v>
      </c>
      <c r="G144" t="s">
        <v>21</v>
      </c>
      <c r="H144">
        <v>40</v>
      </c>
      <c r="I144" t="s">
        <v>50</v>
      </c>
      <c r="J144">
        <v>1</v>
      </c>
      <c r="K144" s="4">
        <v>2170</v>
      </c>
      <c r="L144" s="4">
        <v>2170</v>
      </c>
      <c r="M144" t="s">
        <v>108</v>
      </c>
    </row>
    <row r="145" spans="2:12" ht="12.75">
      <c r="B145" t="str">
        <f>"3337"</f>
        <v>3337</v>
      </c>
      <c r="C145" t="s">
        <v>40</v>
      </c>
      <c r="D145">
        <v>402516</v>
      </c>
      <c r="E145" t="s">
        <v>109</v>
      </c>
      <c r="F145">
        <v>400012</v>
      </c>
      <c r="G145" t="s">
        <v>90</v>
      </c>
      <c r="H145">
        <v>40</v>
      </c>
      <c r="I145" t="s">
        <v>50</v>
      </c>
      <c r="J145">
        <v>1</v>
      </c>
      <c r="K145" s="4">
        <v>3700</v>
      </c>
      <c r="L145" s="4">
        <v>3700</v>
      </c>
    </row>
    <row r="146" spans="2:13" ht="12.75">
      <c r="B146" t="str">
        <f>"5284"</f>
        <v>5284</v>
      </c>
      <c r="C146" t="s">
        <v>110</v>
      </c>
      <c r="D146">
        <v>402007</v>
      </c>
      <c r="E146" t="s">
        <v>41</v>
      </c>
      <c r="F146">
        <v>420004</v>
      </c>
      <c r="G146" t="s">
        <v>25</v>
      </c>
      <c r="H146">
        <v>42</v>
      </c>
      <c r="I146" t="s">
        <v>101</v>
      </c>
      <c r="J146">
        <v>1</v>
      </c>
      <c r="K146" s="4">
        <v>14560</v>
      </c>
      <c r="L146" s="4">
        <v>14560</v>
      </c>
      <c r="M146" t="s">
        <v>111</v>
      </c>
    </row>
    <row r="147" spans="1:2" ht="12.75">
      <c r="A147" t="s">
        <v>47</v>
      </c>
      <c r="B147">
        <f>SUM(L138:L146)</f>
        <v>73247</v>
      </c>
    </row>
    <row r="149" ht="12.75">
      <c r="A149" t="str">
        <f>"1526 - Urad vlade za verske skupnosti, verzija: 1"</f>
        <v>1526 - Urad vlade za verske skupnosti, verzija: 1</v>
      </c>
    </row>
    <row r="150" spans="2:13" ht="12.75">
      <c r="B150" t="s">
        <v>3</v>
      </c>
      <c r="D150" t="s">
        <v>4</v>
      </c>
      <c r="F150" t="s">
        <v>5</v>
      </c>
      <c r="H150" t="s">
        <v>6</v>
      </c>
      <c r="J150" t="s">
        <v>7</v>
      </c>
      <c r="K150" s="4" t="s">
        <v>8</v>
      </c>
      <c r="L150" s="4" t="s">
        <v>9</v>
      </c>
      <c r="M150" t="s">
        <v>10</v>
      </c>
    </row>
    <row r="151" spans="2:12" ht="12.75">
      <c r="B151" t="str">
        <f aca="true" t="shared" si="7" ref="B151:B157">"2844"</f>
        <v>2844</v>
      </c>
      <c r="C151" t="s">
        <v>27</v>
      </c>
      <c r="D151">
        <v>402007</v>
      </c>
      <c r="E151" t="s">
        <v>41</v>
      </c>
      <c r="F151">
        <v>400024</v>
      </c>
      <c r="G151" t="s">
        <v>25</v>
      </c>
      <c r="H151">
        <v>40</v>
      </c>
      <c r="I151" t="s">
        <v>50</v>
      </c>
      <c r="J151">
        <v>1</v>
      </c>
      <c r="K151" s="4">
        <v>800</v>
      </c>
      <c r="L151" s="4">
        <v>800</v>
      </c>
    </row>
    <row r="152" spans="2:12" ht="12.75">
      <c r="B152" t="str">
        <f t="shared" si="7"/>
        <v>2844</v>
      </c>
      <c r="C152" t="s">
        <v>27</v>
      </c>
      <c r="D152">
        <v>402510</v>
      </c>
      <c r="E152" t="s">
        <v>12</v>
      </c>
      <c r="F152">
        <v>410007</v>
      </c>
      <c r="G152" t="s">
        <v>25</v>
      </c>
      <c r="H152">
        <v>41</v>
      </c>
      <c r="I152" t="s">
        <v>14</v>
      </c>
      <c r="J152">
        <v>1</v>
      </c>
      <c r="K152" s="4">
        <v>200</v>
      </c>
      <c r="L152" s="4">
        <v>200</v>
      </c>
    </row>
    <row r="153" spans="2:12" ht="12.75">
      <c r="B153" t="str">
        <f t="shared" si="7"/>
        <v>2844</v>
      </c>
      <c r="C153" t="s">
        <v>27</v>
      </c>
      <c r="D153">
        <v>420202</v>
      </c>
      <c r="E153" t="s">
        <v>19</v>
      </c>
      <c r="F153">
        <v>10002</v>
      </c>
      <c r="G153" t="s">
        <v>20</v>
      </c>
      <c r="H153">
        <v>1</v>
      </c>
      <c r="I153" t="s">
        <v>21</v>
      </c>
      <c r="J153">
        <v>2</v>
      </c>
      <c r="K153" s="4">
        <v>500</v>
      </c>
      <c r="L153" s="4">
        <v>1000</v>
      </c>
    </row>
    <row r="154" spans="2:12" ht="12.75">
      <c r="B154" t="str">
        <f t="shared" si="7"/>
        <v>2844</v>
      </c>
      <c r="C154" t="s">
        <v>27</v>
      </c>
      <c r="D154">
        <v>420202</v>
      </c>
      <c r="E154" t="s">
        <v>19</v>
      </c>
      <c r="F154">
        <v>40001</v>
      </c>
      <c r="G154" t="s">
        <v>59</v>
      </c>
      <c r="H154">
        <v>4</v>
      </c>
      <c r="I154" t="s">
        <v>23</v>
      </c>
      <c r="J154">
        <v>2</v>
      </c>
      <c r="K154" s="4">
        <v>650</v>
      </c>
      <c r="L154" s="4">
        <v>1300</v>
      </c>
    </row>
    <row r="155" spans="2:12" ht="12.75">
      <c r="B155" t="str">
        <f t="shared" si="7"/>
        <v>2844</v>
      </c>
      <c r="C155" t="s">
        <v>27</v>
      </c>
      <c r="D155">
        <v>420202</v>
      </c>
      <c r="E155" t="s">
        <v>19</v>
      </c>
      <c r="F155">
        <v>60002</v>
      </c>
      <c r="G155" t="s">
        <v>31</v>
      </c>
      <c r="H155">
        <v>6</v>
      </c>
      <c r="I155" t="s">
        <v>32</v>
      </c>
      <c r="J155">
        <v>1</v>
      </c>
      <c r="K155" s="4">
        <v>600</v>
      </c>
      <c r="L155" s="4">
        <v>600</v>
      </c>
    </row>
    <row r="156" spans="2:12" ht="12.75">
      <c r="B156" t="str">
        <f t="shared" si="7"/>
        <v>2844</v>
      </c>
      <c r="C156" t="s">
        <v>27</v>
      </c>
      <c r="D156">
        <v>420238</v>
      </c>
      <c r="E156" t="s">
        <v>34</v>
      </c>
      <c r="F156">
        <v>300001</v>
      </c>
      <c r="G156" t="s">
        <v>25</v>
      </c>
      <c r="H156">
        <v>30</v>
      </c>
      <c r="I156" t="s">
        <v>94</v>
      </c>
      <c r="J156">
        <v>1</v>
      </c>
      <c r="K156" s="4">
        <v>200</v>
      </c>
      <c r="L156" s="4">
        <v>200</v>
      </c>
    </row>
    <row r="157" spans="2:12" ht="12.75">
      <c r="B157" t="str">
        <f t="shared" si="7"/>
        <v>2844</v>
      </c>
      <c r="C157" t="s">
        <v>27</v>
      </c>
      <c r="D157">
        <v>420704</v>
      </c>
      <c r="E157" t="s">
        <v>24</v>
      </c>
      <c r="F157">
        <v>410007</v>
      </c>
      <c r="G157" t="s">
        <v>25</v>
      </c>
      <c r="H157">
        <v>41</v>
      </c>
      <c r="I157" t="s">
        <v>14</v>
      </c>
      <c r="J157">
        <v>1</v>
      </c>
      <c r="K157" s="4">
        <v>2000</v>
      </c>
      <c r="L157" s="4">
        <v>2000</v>
      </c>
    </row>
    <row r="158" spans="1:2" ht="12.75">
      <c r="A158" t="s">
        <v>47</v>
      </c>
      <c r="B158">
        <f>SUM(L151:L157)</f>
        <v>6100</v>
      </c>
    </row>
    <row r="160" ht="12.75">
      <c r="A160" t="str">
        <f>"1517 - Služba vlade za zakonodajo, verzija: 1"</f>
        <v>1517 - Služba vlade za zakonodajo, verzija: 1</v>
      </c>
    </row>
    <row r="161" spans="2:13" ht="12.75">
      <c r="B161" t="s">
        <v>3</v>
      </c>
      <c r="D161" t="s">
        <v>4</v>
      </c>
      <c r="F161" t="s">
        <v>5</v>
      </c>
      <c r="H161" t="s">
        <v>6</v>
      </c>
      <c r="J161" t="s">
        <v>7</v>
      </c>
      <c r="K161" s="4" t="s">
        <v>8</v>
      </c>
      <c r="L161" s="4" t="s">
        <v>9</v>
      </c>
      <c r="M161" t="s">
        <v>10</v>
      </c>
    </row>
    <row r="162" spans="2:12" ht="12.75">
      <c r="B162" t="str">
        <f>"1329"</f>
        <v>1329</v>
      </c>
      <c r="C162" t="s">
        <v>112</v>
      </c>
      <c r="D162">
        <v>402516</v>
      </c>
      <c r="E162" t="s">
        <v>109</v>
      </c>
      <c r="F162">
        <v>350002</v>
      </c>
      <c r="G162" t="s">
        <v>88</v>
      </c>
      <c r="H162">
        <v>35</v>
      </c>
      <c r="I162" t="s">
        <v>17</v>
      </c>
      <c r="J162">
        <v>1</v>
      </c>
      <c r="K162" s="4">
        <v>4200</v>
      </c>
      <c r="L162" s="4">
        <v>4200</v>
      </c>
    </row>
    <row r="163" spans="2:12" ht="12.75">
      <c r="B163" t="str">
        <f>"1329"</f>
        <v>1329</v>
      </c>
      <c r="C163" t="s">
        <v>112</v>
      </c>
      <c r="D163">
        <v>420202</v>
      </c>
      <c r="E163" t="s">
        <v>19</v>
      </c>
      <c r="F163">
        <v>60002</v>
      </c>
      <c r="G163" t="s">
        <v>31</v>
      </c>
      <c r="H163">
        <v>6</v>
      </c>
      <c r="I163" t="s">
        <v>32</v>
      </c>
      <c r="J163">
        <v>8</v>
      </c>
      <c r="K163" s="4">
        <v>750</v>
      </c>
      <c r="L163" s="4">
        <v>6000</v>
      </c>
    </row>
    <row r="164" spans="2:12" ht="12.75">
      <c r="B164" t="str">
        <f>"1329"</f>
        <v>1329</v>
      </c>
      <c r="C164" t="s">
        <v>112</v>
      </c>
      <c r="D164">
        <v>420238</v>
      </c>
      <c r="E164" t="s">
        <v>34</v>
      </c>
      <c r="F164">
        <v>40005</v>
      </c>
      <c r="G164" t="s">
        <v>25</v>
      </c>
      <c r="H164">
        <v>4</v>
      </c>
      <c r="I164" t="s">
        <v>23</v>
      </c>
      <c r="J164">
        <v>3</v>
      </c>
      <c r="K164" s="4">
        <v>1600</v>
      </c>
      <c r="L164" s="4">
        <v>4800</v>
      </c>
    </row>
    <row r="165" spans="2:12" ht="12.75">
      <c r="B165" t="str">
        <f aca="true" t="shared" si="8" ref="B165:B173">"2833"</f>
        <v>2833</v>
      </c>
      <c r="C165" t="s">
        <v>27</v>
      </c>
      <c r="D165">
        <v>420202</v>
      </c>
      <c r="E165" t="s">
        <v>19</v>
      </c>
      <c r="F165">
        <v>10001</v>
      </c>
      <c r="G165" t="s">
        <v>48</v>
      </c>
      <c r="H165">
        <v>1</v>
      </c>
      <c r="I165" t="s">
        <v>21</v>
      </c>
      <c r="J165">
        <v>8</v>
      </c>
      <c r="K165" s="4">
        <v>1000</v>
      </c>
      <c r="L165" s="4">
        <v>8000</v>
      </c>
    </row>
    <row r="166" spans="2:12" ht="12.75">
      <c r="B166" t="str">
        <f t="shared" si="8"/>
        <v>2833</v>
      </c>
      <c r="C166" t="s">
        <v>27</v>
      </c>
      <c r="D166">
        <v>420202</v>
      </c>
      <c r="E166" t="s">
        <v>19</v>
      </c>
      <c r="F166">
        <v>20001</v>
      </c>
      <c r="G166" t="s">
        <v>29</v>
      </c>
      <c r="H166">
        <v>2</v>
      </c>
      <c r="I166" t="s">
        <v>30</v>
      </c>
      <c r="J166">
        <v>8</v>
      </c>
      <c r="K166" s="4">
        <v>1400</v>
      </c>
      <c r="L166" s="4">
        <v>11200</v>
      </c>
    </row>
    <row r="167" spans="2:12" ht="12.75">
      <c r="B167" t="str">
        <f t="shared" si="8"/>
        <v>2833</v>
      </c>
      <c r="C167" t="s">
        <v>27</v>
      </c>
      <c r="D167">
        <v>420202</v>
      </c>
      <c r="E167" t="s">
        <v>19</v>
      </c>
      <c r="F167">
        <v>40002</v>
      </c>
      <c r="G167" t="s">
        <v>22</v>
      </c>
      <c r="H167">
        <v>4</v>
      </c>
      <c r="I167" t="s">
        <v>23</v>
      </c>
      <c r="J167">
        <v>8</v>
      </c>
      <c r="K167" s="4">
        <v>400</v>
      </c>
      <c r="L167" s="4">
        <v>3200</v>
      </c>
    </row>
    <row r="168" spans="2:12" ht="12.75">
      <c r="B168" t="str">
        <f t="shared" si="8"/>
        <v>2833</v>
      </c>
      <c r="C168" t="s">
        <v>27</v>
      </c>
      <c r="D168">
        <v>420202</v>
      </c>
      <c r="E168" t="s">
        <v>19</v>
      </c>
      <c r="F168">
        <v>60002</v>
      </c>
      <c r="G168" t="s">
        <v>31</v>
      </c>
      <c r="H168">
        <v>6</v>
      </c>
      <c r="I168" t="s">
        <v>32</v>
      </c>
      <c r="J168">
        <v>4</v>
      </c>
      <c r="K168" s="4">
        <v>1300</v>
      </c>
      <c r="L168" s="4">
        <v>5200</v>
      </c>
    </row>
    <row r="169" spans="2:12" ht="12.75">
      <c r="B169" t="str">
        <f t="shared" si="8"/>
        <v>2833</v>
      </c>
      <c r="C169" t="s">
        <v>27</v>
      </c>
      <c r="D169">
        <v>420202</v>
      </c>
      <c r="E169" t="s">
        <v>19</v>
      </c>
      <c r="F169">
        <v>70002</v>
      </c>
      <c r="G169" t="s">
        <v>113</v>
      </c>
      <c r="H169">
        <v>7</v>
      </c>
      <c r="I169" t="s">
        <v>74</v>
      </c>
      <c r="J169">
        <v>2</v>
      </c>
      <c r="K169" s="4">
        <v>416</v>
      </c>
      <c r="L169" s="4">
        <v>832</v>
      </c>
    </row>
    <row r="170" spans="2:12" ht="12.75">
      <c r="B170" t="str">
        <f t="shared" si="8"/>
        <v>2833</v>
      </c>
      <c r="C170" t="s">
        <v>27</v>
      </c>
      <c r="D170">
        <v>420202</v>
      </c>
      <c r="E170" t="s">
        <v>19</v>
      </c>
      <c r="F170">
        <v>120001</v>
      </c>
      <c r="G170" t="s">
        <v>114</v>
      </c>
      <c r="H170">
        <v>12</v>
      </c>
      <c r="I170" t="s">
        <v>38</v>
      </c>
      <c r="J170">
        <v>1</v>
      </c>
      <c r="K170" s="4">
        <v>750</v>
      </c>
      <c r="L170" s="4">
        <v>750</v>
      </c>
    </row>
    <row r="171" spans="2:12" ht="12.75">
      <c r="B171" t="str">
        <f t="shared" si="8"/>
        <v>2833</v>
      </c>
      <c r="C171" t="s">
        <v>27</v>
      </c>
      <c r="D171">
        <v>420202</v>
      </c>
      <c r="E171" t="s">
        <v>19</v>
      </c>
      <c r="F171">
        <v>120007</v>
      </c>
      <c r="G171" t="s">
        <v>25</v>
      </c>
      <c r="H171">
        <v>12</v>
      </c>
      <c r="I171" t="s">
        <v>38</v>
      </c>
      <c r="J171">
        <v>5</v>
      </c>
      <c r="K171" s="4">
        <v>300</v>
      </c>
      <c r="L171" s="4">
        <v>1500</v>
      </c>
    </row>
    <row r="172" spans="2:12" ht="12.75">
      <c r="B172" t="str">
        <f t="shared" si="8"/>
        <v>2833</v>
      </c>
      <c r="C172" t="s">
        <v>27</v>
      </c>
      <c r="D172">
        <v>420202</v>
      </c>
      <c r="E172" t="s">
        <v>19</v>
      </c>
      <c r="F172">
        <v>170002</v>
      </c>
      <c r="G172" t="s">
        <v>115</v>
      </c>
      <c r="H172">
        <v>17</v>
      </c>
      <c r="I172" t="s">
        <v>116</v>
      </c>
      <c r="J172">
        <v>1</v>
      </c>
      <c r="K172" s="4">
        <v>1700</v>
      </c>
      <c r="L172" s="4">
        <v>1700</v>
      </c>
    </row>
    <row r="173" spans="2:12" ht="12.75">
      <c r="B173" t="str">
        <f t="shared" si="8"/>
        <v>2833</v>
      </c>
      <c r="C173" t="s">
        <v>27</v>
      </c>
      <c r="D173">
        <v>420703</v>
      </c>
      <c r="E173" t="s">
        <v>51</v>
      </c>
      <c r="F173">
        <v>160007</v>
      </c>
      <c r="G173" t="s">
        <v>70</v>
      </c>
      <c r="H173">
        <v>16</v>
      </c>
      <c r="I173" t="s">
        <v>71</v>
      </c>
      <c r="J173">
        <v>15</v>
      </c>
      <c r="K173" s="4">
        <v>400</v>
      </c>
      <c r="L173" s="4">
        <v>6000</v>
      </c>
    </row>
    <row r="174" spans="1:2" ht="12.75">
      <c r="A174" t="s">
        <v>47</v>
      </c>
      <c r="B174">
        <f>SUM(L162:L173)</f>
        <v>53382</v>
      </c>
    </row>
    <row r="176" ht="12.75">
      <c r="A176" t="str">
        <f>"1522 - Statistični urad Republike Slovenije, verzija: 1"</f>
        <v>1522 - Statistični urad Republike Slovenije, verzija: 1</v>
      </c>
    </row>
    <row r="177" spans="2:13" ht="12.75">
      <c r="B177" t="s">
        <v>3</v>
      </c>
      <c r="D177" t="s">
        <v>4</v>
      </c>
      <c r="F177" t="s">
        <v>5</v>
      </c>
      <c r="H177" t="s">
        <v>6</v>
      </c>
      <c r="J177" t="s">
        <v>7</v>
      </c>
      <c r="K177" s="4" t="s">
        <v>8</v>
      </c>
      <c r="L177" s="4" t="s">
        <v>9</v>
      </c>
      <c r="M177" t="s">
        <v>10</v>
      </c>
    </row>
    <row r="178" spans="2:12" ht="12.75">
      <c r="B178" t="str">
        <f aca="true" t="shared" si="9" ref="B178:B194">"2839"</f>
        <v>2839</v>
      </c>
      <c r="C178" t="s">
        <v>27</v>
      </c>
      <c r="D178">
        <v>420202</v>
      </c>
      <c r="E178" t="s">
        <v>19</v>
      </c>
      <c r="F178">
        <v>10003</v>
      </c>
      <c r="G178" t="s">
        <v>28</v>
      </c>
      <c r="H178">
        <v>1</v>
      </c>
      <c r="I178" t="s">
        <v>21</v>
      </c>
      <c r="J178">
        <v>40</v>
      </c>
      <c r="K178" s="4">
        <v>835</v>
      </c>
      <c r="L178" s="4">
        <v>33400</v>
      </c>
    </row>
    <row r="179" spans="2:12" ht="12.75">
      <c r="B179" t="str">
        <f t="shared" si="9"/>
        <v>2839</v>
      </c>
      <c r="C179" t="s">
        <v>27</v>
      </c>
      <c r="D179">
        <v>420202</v>
      </c>
      <c r="E179" t="s">
        <v>19</v>
      </c>
      <c r="F179">
        <v>20002</v>
      </c>
      <c r="G179" t="s">
        <v>58</v>
      </c>
      <c r="H179">
        <v>2</v>
      </c>
      <c r="I179" t="s">
        <v>30</v>
      </c>
      <c r="J179">
        <v>25</v>
      </c>
      <c r="K179" s="4">
        <v>2000</v>
      </c>
      <c r="L179" s="4">
        <v>50000</v>
      </c>
    </row>
    <row r="180" spans="2:12" ht="12.75">
      <c r="B180" t="str">
        <f t="shared" si="9"/>
        <v>2839</v>
      </c>
      <c r="C180" t="s">
        <v>27</v>
      </c>
      <c r="D180">
        <v>420202</v>
      </c>
      <c r="E180" t="s">
        <v>19</v>
      </c>
      <c r="F180">
        <v>40002</v>
      </c>
      <c r="G180" t="s">
        <v>22</v>
      </c>
      <c r="H180">
        <v>4</v>
      </c>
      <c r="I180" t="s">
        <v>23</v>
      </c>
      <c r="J180">
        <v>100</v>
      </c>
      <c r="K180" s="4">
        <v>300</v>
      </c>
      <c r="L180" s="4">
        <v>30000</v>
      </c>
    </row>
    <row r="181" spans="2:12" ht="12.75">
      <c r="B181" t="str">
        <f t="shared" si="9"/>
        <v>2839</v>
      </c>
      <c r="C181" t="s">
        <v>27</v>
      </c>
      <c r="D181">
        <v>420202</v>
      </c>
      <c r="E181" t="s">
        <v>19</v>
      </c>
      <c r="F181">
        <v>60002</v>
      </c>
      <c r="G181" t="s">
        <v>31</v>
      </c>
      <c r="H181">
        <v>6</v>
      </c>
      <c r="I181" t="s">
        <v>32</v>
      </c>
      <c r="J181">
        <v>10</v>
      </c>
      <c r="K181" s="4">
        <v>1669</v>
      </c>
      <c r="L181" s="4">
        <v>16690</v>
      </c>
    </row>
    <row r="182" spans="2:12" ht="12.75">
      <c r="B182" t="str">
        <f t="shared" si="9"/>
        <v>2839</v>
      </c>
      <c r="C182" t="s">
        <v>27</v>
      </c>
      <c r="D182">
        <v>420202</v>
      </c>
      <c r="E182" t="s">
        <v>19</v>
      </c>
      <c r="F182">
        <v>70003</v>
      </c>
      <c r="G182" t="s">
        <v>73</v>
      </c>
      <c r="H182">
        <v>7</v>
      </c>
      <c r="I182" t="s">
        <v>74</v>
      </c>
      <c r="J182">
        <v>2</v>
      </c>
      <c r="K182" s="4">
        <v>2000</v>
      </c>
      <c r="L182" s="4">
        <v>4000</v>
      </c>
    </row>
    <row r="183" spans="2:12" ht="12.75">
      <c r="B183" t="str">
        <f t="shared" si="9"/>
        <v>2839</v>
      </c>
      <c r="C183" t="s">
        <v>27</v>
      </c>
      <c r="D183">
        <v>420222</v>
      </c>
      <c r="E183" t="s">
        <v>60</v>
      </c>
      <c r="F183">
        <v>120003</v>
      </c>
      <c r="G183" t="s">
        <v>37</v>
      </c>
      <c r="H183">
        <v>12</v>
      </c>
      <c r="I183" t="s">
        <v>38</v>
      </c>
      <c r="J183">
        <v>1</v>
      </c>
      <c r="K183" s="4">
        <v>200000</v>
      </c>
      <c r="L183" s="4">
        <v>200000</v>
      </c>
    </row>
    <row r="184" spans="2:12" ht="12.75">
      <c r="B184" t="str">
        <f t="shared" si="9"/>
        <v>2839</v>
      </c>
      <c r="C184" t="s">
        <v>27</v>
      </c>
      <c r="D184">
        <v>420222</v>
      </c>
      <c r="E184" t="s">
        <v>60</v>
      </c>
      <c r="F184">
        <v>240003</v>
      </c>
      <c r="G184" t="s">
        <v>117</v>
      </c>
      <c r="H184">
        <v>24</v>
      </c>
      <c r="I184" t="s">
        <v>118</v>
      </c>
      <c r="J184">
        <v>1</v>
      </c>
      <c r="K184" s="4">
        <v>60000</v>
      </c>
      <c r="L184" s="4">
        <v>60000</v>
      </c>
    </row>
    <row r="185" spans="2:12" ht="12.75">
      <c r="B185" t="str">
        <f t="shared" si="9"/>
        <v>2839</v>
      </c>
      <c r="C185" t="s">
        <v>27</v>
      </c>
      <c r="D185">
        <v>420222</v>
      </c>
      <c r="E185" t="s">
        <v>60</v>
      </c>
      <c r="F185">
        <v>250012</v>
      </c>
      <c r="G185" t="s">
        <v>119</v>
      </c>
      <c r="H185">
        <v>25</v>
      </c>
      <c r="I185" t="s">
        <v>120</v>
      </c>
      <c r="J185">
        <v>5</v>
      </c>
      <c r="K185" s="4">
        <v>1700</v>
      </c>
      <c r="L185" s="4">
        <v>8500</v>
      </c>
    </row>
    <row r="186" spans="2:12" ht="12.75">
      <c r="B186" t="str">
        <f t="shared" si="9"/>
        <v>2839</v>
      </c>
      <c r="C186" t="s">
        <v>27</v>
      </c>
      <c r="D186">
        <v>420703</v>
      </c>
      <c r="E186" t="s">
        <v>51</v>
      </c>
      <c r="F186">
        <v>310004</v>
      </c>
      <c r="G186" t="s">
        <v>121</v>
      </c>
      <c r="H186">
        <v>31</v>
      </c>
      <c r="I186" t="s">
        <v>26</v>
      </c>
      <c r="J186">
        <v>1</v>
      </c>
      <c r="K186" s="4">
        <v>25038</v>
      </c>
      <c r="L186" s="4">
        <v>25038</v>
      </c>
    </row>
    <row r="187" spans="2:12" ht="12.75">
      <c r="B187" t="str">
        <f t="shared" si="9"/>
        <v>2839</v>
      </c>
      <c r="C187" t="s">
        <v>27</v>
      </c>
      <c r="D187">
        <v>420703</v>
      </c>
      <c r="E187" t="s">
        <v>51</v>
      </c>
      <c r="F187">
        <v>310005</v>
      </c>
      <c r="G187" t="s">
        <v>46</v>
      </c>
      <c r="H187">
        <v>31</v>
      </c>
      <c r="I187" t="s">
        <v>26</v>
      </c>
      <c r="J187">
        <v>1</v>
      </c>
      <c r="K187" s="4">
        <v>25038</v>
      </c>
      <c r="L187" s="4">
        <v>25038</v>
      </c>
    </row>
    <row r="188" spans="2:12" ht="12.75">
      <c r="B188" t="str">
        <f t="shared" si="9"/>
        <v>2839</v>
      </c>
      <c r="C188" t="s">
        <v>27</v>
      </c>
      <c r="D188">
        <v>420703</v>
      </c>
      <c r="E188" t="s">
        <v>51</v>
      </c>
      <c r="F188">
        <v>310007</v>
      </c>
      <c r="G188" t="s">
        <v>82</v>
      </c>
      <c r="H188">
        <v>31</v>
      </c>
      <c r="I188" t="s">
        <v>26</v>
      </c>
      <c r="J188">
        <v>1</v>
      </c>
      <c r="K188" s="4">
        <v>70000</v>
      </c>
      <c r="L188" s="4">
        <v>70000</v>
      </c>
    </row>
    <row r="189" spans="2:12" ht="12.75">
      <c r="B189" t="str">
        <f t="shared" si="9"/>
        <v>2839</v>
      </c>
      <c r="C189" t="s">
        <v>27</v>
      </c>
      <c r="D189">
        <v>420703</v>
      </c>
      <c r="E189" t="s">
        <v>51</v>
      </c>
      <c r="F189">
        <v>310007</v>
      </c>
      <c r="G189" t="s">
        <v>82</v>
      </c>
      <c r="H189">
        <v>31</v>
      </c>
      <c r="I189" t="s">
        <v>26</v>
      </c>
      <c r="J189">
        <v>1</v>
      </c>
      <c r="K189" s="4">
        <v>130000</v>
      </c>
      <c r="L189" s="4">
        <v>130000</v>
      </c>
    </row>
    <row r="190" spans="2:12" ht="12.75">
      <c r="B190" t="str">
        <f t="shared" si="9"/>
        <v>2839</v>
      </c>
      <c r="C190" t="s">
        <v>27</v>
      </c>
      <c r="D190">
        <v>420703</v>
      </c>
      <c r="E190" t="s">
        <v>51</v>
      </c>
      <c r="F190">
        <v>310007</v>
      </c>
      <c r="G190" t="s">
        <v>82</v>
      </c>
      <c r="H190">
        <v>31</v>
      </c>
      <c r="I190" t="s">
        <v>26</v>
      </c>
      <c r="J190">
        <v>1</v>
      </c>
      <c r="K190" s="4">
        <v>112669</v>
      </c>
      <c r="L190" s="4">
        <v>112669</v>
      </c>
    </row>
    <row r="191" spans="2:12" ht="12.75">
      <c r="B191" t="str">
        <f t="shared" si="9"/>
        <v>2839</v>
      </c>
      <c r="C191" t="s">
        <v>27</v>
      </c>
      <c r="D191">
        <v>420703</v>
      </c>
      <c r="E191" t="s">
        <v>51</v>
      </c>
      <c r="F191">
        <v>310007</v>
      </c>
      <c r="G191" t="s">
        <v>82</v>
      </c>
      <c r="H191">
        <v>31</v>
      </c>
      <c r="I191" t="s">
        <v>26</v>
      </c>
      <c r="J191">
        <v>1</v>
      </c>
      <c r="K191" s="4">
        <v>33383</v>
      </c>
      <c r="L191" s="4">
        <v>33383</v>
      </c>
    </row>
    <row r="192" spans="2:12" ht="12.75">
      <c r="B192" t="str">
        <f t="shared" si="9"/>
        <v>2839</v>
      </c>
      <c r="C192" t="s">
        <v>27</v>
      </c>
      <c r="D192">
        <v>420703</v>
      </c>
      <c r="E192" t="s">
        <v>51</v>
      </c>
      <c r="F192">
        <v>310007</v>
      </c>
      <c r="G192" t="s">
        <v>82</v>
      </c>
      <c r="H192">
        <v>31</v>
      </c>
      <c r="I192" t="s">
        <v>26</v>
      </c>
      <c r="J192">
        <v>1</v>
      </c>
      <c r="K192" s="4">
        <v>6259</v>
      </c>
      <c r="L192" s="4">
        <v>6259</v>
      </c>
    </row>
    <row r="193" spans="2:12" ht="12.75">
      <c r="B193" t="str">
        <f t="shared" si="9"/>
        <v>2839</v>
      </c>
      <c r="C193" t="s">
        <v>27</v>
      </c>
      <c r="D193">
        <v>420703</v>
      </c>
      <c r="E193" t="s">
        <v>51</v>
      </c>
      <c r="F193">
        <v>310007</v>
      </c>
      <c r="G193" t="s">
        <v>82</v>
      </c>
      <c r="H193">
        <v>31</v>
      </c>
      <c r="I193" t="s">
        <v>26</v>
      </c>
      <c r="J193">
        <v>1</v>
      </c>
      <c r="K193" s="4">
        <v>20864</v>
      </c>
      <c r="L193" s="4">
        <v>20864</v>
      </c>
    </row>
    <row r="194" spans="2:12" ht="12.75">
      <c r="B194" t="str">
        <f t="shared" si="9"/>
        <v>2839</v>
      </c>
      <c r="C194" t="s">
        <v>27</v>
      </c>
      <c r="D194">
        <v>420806</v>
      </c>
      <c r="E194" t="s">
        <v>122</v>
      </c>
      <c r="F194">
        <v>360004</v>
      </c>
      <c r="G194" t="s">
        <v>123</v>
      </c>
      <c r="H194">
        <v>36</v>
      </c>
      <c r="I194" t="s">
        <v>124</v>
      </c>
      <c r="J194">
        <v>1</v>
      </c>
      <c r="K194" s="4">
        <v>12519</v>
      </c>
      <c r="L194" s="4">
        <v>12519</v>
      </c>
    </row>
    <row r="195" spans="2:12" ht="12.75">
      <c r="B195" t="str">
        <f aca="true" t="shared" si="10" ref="B195:B204">"3357"</f>
        <v>3357</v>
      </c>
      <c r="C195" t="s">
        <v>40</v>
      </c>
      <c r="D195">
        <v>402007</v>
      </c>
      <c r="E195" t="s">
        <v>41</v>
      </c>
      <c r="F195">
        <v>410003</v>
      </c>
      <c r="G195" t="s">
        <v>125</v>
      </c>
      <c r="H195">
        <v>41</v>
      </c>
      <c r="I195" t="s">
        <v>14</v>
      </c>
      <c r="J195">
        <v>1</v>
      </c>
      <c r="K195" s="4">
        <v>20500</v>
      </c>
      <c r="L195" s="4">
        <v>20500</v>
      </c>
    </row>
    <row r="196" spans="2:12" ht="12.75">
      <c r="B196" t="str">
        <f t="shared" si="10"/>
        <v>3357</v>
      </c>
      <c r="C196" t="s">
        <v>40</v>
      </c>
      <c r="D196">
        <v>402007</v>
      </c>
      <c r="E196" t="s">
        <v>41</v>
      </c>
      <c r="F196">
        <v>410003</v>
      </c>
      <c r="G196" t="s">
        <v>125</v>
      </c>
      <c r="H196">
        <v>41</v>
      </c>
      <c r="I196" t="s">
        <v>14</v>
      </c>
      <c r="J196">
        <v>1</v>
      </c>
      <c r="K196" s="4">
        <v>12519</v>
      </c>
      <c r="L196" s="4">
        <v>12519</v>
      </c>
    </row>
    <row r="197" spans="2:12" ht="12.75">
      <c r="B197" t="str">
        <f t="shared" si="10"/>
        <v>3357</v>
      </c>
      <c r="C197" t="s">
        <v>40</v>
      </c>
      <c r="D197">
        <v>402007</v>
      </c>
      <c r="E197" t="s">
        <v>41</v>
      </c>
      <c r="F197">
        <v>430009</v>
      </c>
      <c r="G197" t="s">
        <v>25</v>
      </c>
      <c r="H197">
        <v>43</v>
      </c>
      <c r="I197" t="s">
        <v>56</v>
      </c>
      <c r="J197">
        <v>1</v>
      </c>
      <c r="K197" s="4">
        <v>15022</v>
      </c>
      <c r="L197" s="4">
        <v>15022</v>
      </c>
    </row>
    <row r="198" spans="2:12" ht="12.75">
      <c r="B198" t="str">
        <f t="shared" si="10"/>
        <v>3357</v>
      </c>
      <c r="C198" t="s">
        <v>40</v>
      </c>
      <c r="D198">
        <v>402011</v>
      </c>
      <c r="E198" t="s">
        <v>54</v>
      </c>
      <c r="F198">
        <v>420002</v>
      </c>
      <c r="G198" t="s">
        <v>126</v>
      </c>
      <c r="H198">
        <v>42</v>
      </c>
      <c r="I198" t="s">
        <v>101</v>
      </c>
      <c r="J198">
        <v>1</v>
      </c>
      <c r="K198" s="4">
        <v>31714</v>
      </c>
      <c r="L198" s="4">
        <v>31714</v>
      </c>
    </row>
    <row r="199" spans="2:12" ht="12.75">
      <c r="B199" t="str">
        <f t="shared" si="10"/>
        <v>3357</v>
      </c>
      <c r="C199" t="s">
        <v>40</v>
      </c>
      <c r="D199">
        <v>402510</v>
      </c>
      <c r="E199" t="s">
        <v>12</v>
      </c>
      <c r="F199">
        <v>350003</v>
      </c>
      <c r="G199" t="s">
        <v>44</v>
      </c>
      <c r="H199">
        <v>35</v>
      </c>
      <c r="I199" t="s">
        <v>17</v>
      </c>
      <c r="J199">
        <v>1</v>
      </c>
      <c r="K199" s="4">
        <v>8346</v>
      </c>
      <c r="L199" s="4">
        <v>8346</v>
      </c>
    </row>
    <row r="200" spans="2:12" ht="12.75">
      <c r="B200" t="str">
        <f t="shared" si="10"/>
        <v>3357</v>
      </c>
      <c r="C200" t="s">
        <v>40</v>
      </c>
      <c r="D200">
        <v>402515</v>
      </c>
      <c r="E200" t="s">
        <v>15</v>
      </c>
      <c r="F200">
        <v>350008</v>
      </c>
      <c r="G200" t="s">
        <v>127</v>
      </c>
      <c r="H200">
        <v>35</v>
      </c>
      <c r="I200" t="s">
        <v>17</v>
      </c>
      <c r="J200">
        <v>1</v>
      </c>
      <c r="K200" s="4">
        <v>45000</v>
      </c>
      <c r="L200" s="4">
        <v>45000</v>
      </c>
    </row>
    <row r="201" spans="2:12" ht="12.75">
      <c r="B201" t="str">
        <f t="shared" si="10"/>
        <v>3357</v>
      </c>
      <c r="C201" t="s">
        <v>40</v>
      </c>
      <c r="D201">
        <v>402515</v>
      </c>
      <c r="E201" t="s">
        <v>15</v>
      </c>
      <c r="F201">
        <v>350011</v>
      </c>
      <c r="G201" t="s">
        <v>25</v>
      </c>
      <c r="H201">
        <v>35</v>
      </c>
      <c r="I201" t="s">
        <v>17</v>
      </c>
      <c r="J201">
        <v>1</v>
      </c>
      <c r="K201" s="4">
        <v>50075</v>
      </c>
      <c r="L201" s="4">
        <v>50075</v>
      </c>
    </row>
    <row r="202" spans="2:12" ht="12.75">
      <c r="B202" t="str">
        <f t="shared" si="10"/>
        <v>3357</v>
      </c>
      <c r="C202" t="s">
        <v>40</v>
      </c>
      <c r="D202">
        <v>402515</v>
      </c>
      <c r="E202" t="s">
        <v>15</v>
      </c>
      <c r="F202">
        <v>400024</v>
      </c>
      <c r="G202" t="s">
        <v>25</v>
      </c>
      <c r="H202">
        <v>40</v>
      </c>
      <c r="I202" t="s">
        <v>50</v>
      </c>
      <c r="J202">
        <v>1</v>
      </c>
      <c r="K202" s="4">
        <v>37556</v>
      </c>
      <c r="L202" s="4">
        <v>37556</v>
      </c>
    </row>
    <row r="203" spans="2:12" ht="12.75">
      <c r="B203" t="str">
        <f t="shared" si="10"/>
        <v>3357</v>
      </c>
      <c r="C203" t="s">
        <v>40</v>
      </c>
      <c r="D203">
        <v>402516</v>
      </c>
      <c r="E203" t="s">
        <v>109</v>
      </c>
      <c r="F203">
        <v>310002</v>
      </c>
      <c r="G203" t="s">
        <v>86</v>
      </c>
      <c r="H203">
        <v>31</v>
      </c>
      <c r="I203" t="s">
        <v>26</v>
      </c>
      <c r="J203">
        <v>1</v>
      </c>
      <c r="K203" s="4">
        <v>8346</v>
      </c>
      <c r="L203" s="4">
        <v>8346</v>
      </c>
    </row>
    <row r="204" spans="2:12" ht="12.75">
      <c r="B204" t="str">
        <f t="shared" si="10"/>
        <v>3357</v>
      </c>
      <c r="C204" t="s">
        <v>40</v>
      </c>
      <c r="D204">
        <v>402516</v>
      </c>
      <c r="E204" t="s">
        <v>109</v>
      </c>
      <c r="F204">
        <v>350005</v>
      </c>
      <c r="G204" t="s">
        <v>96</v>
      </c>
      <c r="H204">
        <v>35</v>
      </c>
      <c r="I204" t="s">
        <v>17</v>
      </c>
      <c r="J204">
        <v>1</v>
      </c>
      <c r="K204" s="4">
        <v>8346</v>
      </c>
      <c r="L204" s="4">
        <v>8346</v>
      </c>
    </row>
    <row r="205" spans="2:12" ht="12.75">
      <c r="B205" t="str">
        <f>"5215"</f>
        <v>5215</v>
      </c>
      <c r="C205" t="s">
        <v>128</v>
      </c>
      <c r="D205">
        <v>402007</v>
      </c>
      <c r="E205" t="s">
        <v>41</v>
      </c>
      <c r="F205">
        <v>310009</v>
      </c>
      <c r="G205" t="s">
        <v>25</v>
      </c>
      <c r="H205">
        <v>31</v>
      </c>
      <c r="I205" t="s">
        <v>26</v>
      </c>
      <c r="J205">
        <v>1</v>
      </c>
      <c r="K205" s="4">
        <v>50000</v>
      </c>
      <c r="L205" s="4">
        <v>50000</v>
      </c>
    </row>
    <row r="206" spans="2:12" ht="12.75">
      <c r="B206" t="str">
        <f>"6777"</f>
        <v>6777</v>
      </c>
      <c r="C206" t="s">
        <v>129</v>
      </c>
      <c r="D206">
        <v>402007</v>
      </c>
      <c r="E206" t="s">
        <v>41</v>
      </c>
      <c r="F206">
        <v>310009</v>
      </c>
      <c r="G206" t="s">
        <v>25</v>
      </c>
      <c r="H206">
        <v>31</v>
      </c>
      <c r="I206" t="s">
        <v>26</v>
      </c>
      <c r="J206">
        <v>1</v>
      </c>
      <c r="K206" s="4">
        <v>384000</v>
      </c>
      <c r="L206" s="4">
        <v>384000</v>
      </c>
    </row>
    <row r="207" spans="2:12" ht="12.75">
      <c r="B207" t="str">
        <f>"6777"</f>
        <v>6777</v>
      </c>
      <c r="C207" t="s">
        <v>129</v>
      </c>
      <c r="D207">
        <v>420222</v>
      </c>
      <c r="E207" t="s">
        <v>60</v>
      </c>
      <c r="F207">
        <v>120003</v>
      </c>
      <c r="G207" t="s">
        <v>37</v>
      </c>
      <c r="H207">
        <v>12</v>
      </c>
      <c r="I207" t="s">
        <v>38</v>
      </c>
      <c r="J207">
        <v>1</v>
      </c>
      <c r="K207" s="4">
        <v>111000</v>
      </c>
      <c r="L207" s="4">
        <v>111000</v>
      </c>
    </row>
    <row r="208" spans="2:12" ht="12.75">
      <c r="B208" t="str">
        <f>"6967"</f>
        <v>6967</v>
      </c>
      <c r="C208" t="s">
        <v>130</v>
      </c>
      <c r="D208">
        <v>402514</v>
      </c>
      <c r="E208" t="s">
        <v>45</v>
      </c>
      <c r="F208">
        <v>410001</v>
      </c>
      <c r="G208" t="s">
        <v>13</v>
      </c>
      <c r="H208">
        <v>41</v>
      </c>
      <c r="I208" t="s">
        <v>14</v>
      </c>
      <c r="J208">
        <v>1</v>
      </c>
      <c r="K208" s="4">
        <v>171859</v>
      </c>
      <c r="L208" s="4">
        <v>171859</v>
      </c>
    </row>
    <row r="209" spans="2:12" ht="12.75">
      <c r="B209" t="str">
        <f>"6968"</f>
        <v>6968</v>
      </c>
      <c r="C209" t="s">
        <v>131</v>
      </c>
      <c r="D209">
        <v>402007</v>
      </c>
      <c r="E209" t="s">
        <v>41</v>
      </c>
      <c r="F209">
        <v>310002</v>
      </c>
      <c r="G209" t="s">
        <v>86</v>
      </c>
      <c r="H209">
        <v>31</v>
      </c>
      <c r="I209" t="s">
        <v>26</v>
      </c>
      <c r="J209">
        <v>1</v>
      </c>
      <c r="K209" s="4">
        <v>62594</v>
      </c>
      <c r="L209" s="4">
        <v>62594</v>
      </c>
    </row>
    <row r="210" spans="2:12" ht="12.75">
      <c r="B210" t="str">
        <f>"9115"</f>
        <v>9115</v>
      </c>
      <c r="C210" t="s">
        <v>132</v>
      </c>
      <c r="D210">
        <v>402007</v>
      </c>
      <c r="E210" t="s">
        <v>41</v>
      </c>
      <c r="F210">
        <v>370001</v>
      </c>
      <c r="G210" t="s">
        <v>133</v>
      </c>
      <c r="H210">
        <v>37</v>
      </c>
      <c r="I210" t="s">
        <v>134</v>
      </c>
      <c r="J210">
        <v>1</v>
      </c>
      <c r="K210" s="4">
        <v>399821</v>
      </c>
      <c r="L210" s="4">
        <v>399821</v>
      </c>
    </row>
    <row r="211" spans="2:12" ht="12.75">
      <c r="B211" t="str">
        <f>"9156"</f>
        <v>9156</v>
      </c>
      <c r="C211" t="s">
        <v>135</v>
      </c>
      <c r="D211">
        <v>402007</v>
      </c>
      <c r="E211" t="s">
        <v>41</v>
      </c>
      <c r="F211">
        <v>310009</v>
      </c>
      <c r="G211" t="s">
        <v>25</v>
      </c>
      <c r="H211">
        <v>31</v>
      </c>
      <c r="I211" t="s">
        <v>26</v>
      </c>
      <c r="J211">
        <v>1</v>
      </c>
      <c r="K211" s="4">
        <v>76800</v>
      </c>
      <c r="L211" s="4">
        <v>76800</v>
      </c>
    </row>
    <row r="212" spans="2:12" ht="12.75">
      <c r="B212" t="str">
        <f>"9156"</f>
        <v>9156</v>
      </c>
      <c r="C212" t="s">
        <v>135</v>
      </c>
      <c r="D212">
        <v>402007</v>
      </c>
      <c r="E212" t="s">
        <v>41</v>
      </c>
      <c r="F212">
        <v>370001</v>
      </c>
      <c r="G212" t="s">
        <v>133</v>
      </c>
      <c r="H212">
        <v>37</v>
      </c>
      <c r="I212" t="s">
        <v>134</v>
      </c>
      <c r="J212">
        <v>1</v>
      </c>
      <c r="K212" s="4">
        <v>79964</v>
      </c>
      <c r="L212" s="4">
        <v>79964</v>
      </c>
    </row>
    <row r="213" spans="2:12" ht="12.75">
      <c r="B213" t="str">
        <f>"9156"</f>
        <v>9156</v>
      </c>
      <c r="C213" t="s">
        <v>135</v>
      </c>
      <c r="D213">
        <v>420202</v>
      </c>
      <c r="E213" t="s">
        <v>19</v>
      </c>
      <c r="F213">
        <v>130002</v>
      </c>
      <c r="G213" t="s">
        <v>136</v>
      </c>
      <c r="H213">
        <v>13</v>
      </c>
      <c r="I213" t="s">
        <v>137</v>
      </c>
      <c r="J213">
        <v>3</v>
      </c>
      <c r="K213" s="4">
        <v>27000</v>
      </c>
      <c r="L213" s="4">
        <v>81000</v>
      </c>
    </row>
    <row r="214" spans="2:12" ht="12.75">
      <c r="B214" t="str">
        <f>"9156"</f>
        <v>9156</v>
      </c>
      <c r="C214" t="s">
        <v>135</v>
      </c>
      <c r="D214">
        <v>420222</v>
      </c>
      <c r="E214" t="s">
        <v>60</v>
      </c>
      <c r="F214">
        <v>120003</v>
      </c>
      <c r="G214" t="s">
        <v>37</v>
      </c>
      <c r="H214">
        <v>12</v>
      </c>
      <c r="I214" t="s">
        <v>38</v>
      </c>
      <c r="J214">
        <v>1</v>
      </c>
      <c r="K214" s="4">
        <v>22200</v>
      </c>
      <c r="L214" s="4">
        <v>22200</v>
      </c>
    </row>
    <row r="215" spans="2:12" ht="12.75">
      <c r="B215" t="str">
        <f>"9156"</f>
        <v>9156</v>
      </c>
      <c r="C215" t="s">
        <v>135</v>
      </c>
      <c r="D215">
        <v>420703</v>
      </c>
      <c r="E215" t="s">
        <v>51</v>
      </c>
      <c r="F215">
        <v>310009</v>
      </c>
      <c r="G215" t="s">
        <v>25</v>
      </c>
      <c r="H215">
        <v>31</v>
      </c>
      <c r="I215" t="s">
        <v>26</v>
      </c>
      <c r="J215">
        <v>7</v>
      </c>
      <c r="K215" s="4">
        <v>16714</v>
      </c>
      <c r="L215" s="4">
        <v>116998</v>
      </c>
    </row>
    <row r="216" spans="1:2" ht="12.75">
      <c r="A216" t="s">
        <v>47</v>
      </c>
      <c r="B216">
        <f>SUM(L178:L215)</f>
        <v>2632020</v>
      </c>
    </row>
    <row r="218" ht="12.75">
      <c r="A218" t="str">
        <f>"1523 - Služba Vlade Republike Slovenije za razvoj, verzija: 1"</f>
        <v>1523 - Služba Vlade Republike Slovenije za razvoj, verzija: 1</v>
      </c>
    </row>
    <row r="219" spans="2:13" ht="12.75">
      <c r="B219" t="s">
        <v>3</v>
      </c>
      <c r="D219" t="s">
        <v>4</v>
      </c>
      <c r="F219" t="s">
        <v>5</v>
      </c>
      <c r="H219" t="s">
        <v>6</v>
      </c>
      <c r="J219" t="s">
        <v>7</v>
      </c>
      <c r="K219" s="4" t="s">
        <v>8</v>
      </c>
      <c r="L219" s="4" t="s">
        <v>9</v>
      </c>
      <c r="M219" t="s">
        <v>10</v>
      </c>
    </row>
    <row r="220" spans="2:12" ht="12.75">
      <c r="B220" t="str">
        <f aca="true" t="shared" si="11" ref="B220:B227">"6463"</f>
        <v>6463</v>
      </c>
      <c r="C220" t="s">
        <v>27</v>
      </c>
      <c r="D220">
        <v>420202</v>
      </c>
      <c r="E220" t="s">
        <v>19</v>
      </c>
      <c r="F220">
        <v>10003</v>
      </c>
      <c r="G220" t="s">
        <v>28</v>
      </c>
      <c r="H220">
        <v>1</v>
      </c>
      <c r="I220" t="s">
        <v>21</v>
      </c>
      <c r="J220">
        <v>4</v>
      </c>
      <c r="K220" s="4">
        <v>800</v>
      </c>
      <c r="L220" s="4">
        <v>3200</v>
      </c>
    </row>
    <row r="221" spans="2:12" ht="12.75">
      <c r="B221" t="str">
        <f t="shared" si="11"/>
        <v>6463</v>
      </c>
      <c r="C221" t="s">
        <v>27</v>
      </c>
      <c r="D221">
        <v>420202</v>
      </c>
      <c r="E221" t="s">
        <v>19</v>
      </c>
      <c r="F221">
        <v>20002</v>
      </c>
      <c r="G221" t="s">
        <v>58</v>
      </c>
      <c r="H221">
        <v>2</v>
      </c>
      <c r="I221" t="s">
        <v>30</v>
      </c>
      <c r="J221">
        <v>4</v>
      </c>
      <c r="K221" s="4">
        <v>2000</v>
      </c>
      <c r="L221" s="4">
        <v>8000</v>
      </c>
    </row>
    <row r="222" spans="2:12" ht="12.75">
      <c r="B222" t="str">
        <f t="shared" si="11"/>
        <v>6463</v>
      </c>
      <c r="C222" t="s">
        <v>27</v>
      </c>
      <c r="D222">
        <v>420202</v>
      </c>
      <c r="E222" t="s">
        <v>19</v>
      </c>
      <c r="F222">
        <v>40003</v>
      </c>
      <c r="G222" t="s">
        <v>72</v>
      </c>
      <c r="H222">
        <v>4</v>
      </c>
      <c r="I222" t="s">
        <v>23</v>
      </c>
      <c r="J222">
        <v>4</v>
      </c>
      <c r="K222" s="4">
        <v>225</v>
      </c>
      <c r="L222" s="4">
        <v>900</v>
      </c>
    </row>
    <row r="223" spans="2:12" ht="12.75">
      <c r="B223" t="str">
        <f t="shared" si="11"/>
        <v>6463</v>
      </c>
      <c r="C223" t="s">
        <v>27</v>
      </c>
      <c r="D223">
        <v>420202</v>
      </c>
      <c r="E223" t="s">
        <v>19</v>
      </c>
      <c r="F223">
        <v>60002</v>
      </c>
      <c r="G223" t="s">
        <v>31</v>
      </c>
      <c r="H223">
        <v>6</v>
      </c>
      <c r="I223" t="s">
        <v>32</v>
      </c>
      <c r="J223">
        <v>1</v>
      </c>
      <c r="K223" s="4">
        <v>400</v>
      </c>
      <c r="L223" s="4">
        <v>400</v>
      </c>
    </row>
    <row r="224" spans="2:13" ht="12.75">
      <c r="B224" t="str">
        <f t="shared" si="11"/>
        <v>6463</v>
      </c>
      <c r="C224" t="s">
        <v>27</v>
      </c>
      <c r="D224">
        <v>420202</v>
      </c>
      <c r="E224" t="s">
        <v>19</v>
      </c>
      <c r="F224">
        <v>60002</v>
      </c>
      <c r="G224" t="s">
        <v>31</v>
      </c>
      <c r="H224">
        <v>6</v>
      </c>
      <c r="I224" t="s">
        <v>32</v>
      </c>
      <c r="J224">
        <v>1</v>
      </c>
      <c r="K224" s="4">
        <v>4000</v>
      </c>
      <c r="L224" s="4">
        <v>4000</v>
      </c>
      <c r="M224" t="s">
        <v>138</v>
      </c>
    </row>
    <row r="225" spans="2:13" ht="12.75">
      <c r="B225" t="str">
        <f t="shared" si="11"/>
        <v>6463</v>
      </c>
      <c r="C225" t="s">
        <v>27</v>
      </c>
      <c r="D225">
        <v>420238</v>
      </c>
      <c r="E225" t="s">
        <v>34</v>
      </c>
      <c r="F225">
        <v>30005</v>
      </c>
      <c r="G225" t="s">
        <v>25</v>
      </c>
      <c r="H225">
        <v>3</v>
      </c>
      <c r="I225" t="s">
        <v>78</v>
      </c>
      <c r="J225">
        <v>6</v>
      </c>
      <c r="K225" s="4">
        <v>100</v>
      </c>
      <c r="L225" s="4">
        <v>600</v>
      </c>
      <c r="M225" t="s">
        <v>139</v>
      </c>
    </row>
    <row r="226" spans="2:13" ht="12.75">
      <c r="B226" t="str">
        <f t="shared" si="11"/>
        <v>6463</v>
      </c>
      <c r="C226" t="s">
        <v>27</v>
      </c>
      <c r="D226">
        <v>420238</v>
      </c>
      <c r="E226" t="s">
        <v>34</v>
      </c>
      <c r="F226">
        <v>30005</v>
      </c>
      <c r="G226" t="s">
        <v>25</v>
      </c>
      <c r="H226">
        <v>3</v>
      </c>
      <c r="I226" t="s">
        <v>78</v>
      </c>
      <c r="J226">
        <v>4</v>
      </c>
      <c r="K226" s="4">
        <v>75</v>
      </c>
      <c r="L226" s="4">
        <v>300</v>
      </c>
      <c r="M226" t="s">
        <v>140</v>
      </c>
    </row>
    <row r="227" spans="2:12" ht="12.75">
      <c r="B227" t="str">
        <f t="shared" si="11"/>
        <v>6463</v>
      </c>
      <c r="C227" t="s">
        <v>27</v>
      </c>
      <c r="D227">
        <v>420703</v>
      </c>
      <c r="E227" t="s">
        <v>51</v>
      </c>
      <c r="F227">
        <v>310007</v>
      </c>
      <c r="G227" t="s">
        <v>82</v>
      </c>
      <c r="H227">
        <v>31</v>
      </c>
      <c r="I227" t="s">
        <v>26</v>
      </c>
      <c r="J227">
        <v>1</v>
      </c>
      <c r="K227" s="4">
        <v>10510</v>
      </c>
      <c r="L227" s="4">
        <v>10510</v>
      </c>
    </row>
    <row r="228" spans="1:2" ht="12.75">
      <c r="A228" t="s">
        <v>47</v>
      </c>
      <c r="B228">
        <f>SUM(L220:L227)</f>
        <v>27910</v>
      </c>
    </row>
    <row r="230" ht="12.75">
      <c r="A230" t="str">
        <f>"1524 - Slovenska obveščevalno - varnostna agencija, verzija: 1"</f>
        <v>1524 - Slovenska obveščevalno - varnostna agencija, verzija: 1</v>
      </c>
    </row>
    <row r="231" spans="2:13" ht="12.75">
      <c r="B231" t="s">
        <v>3</v>
      </c>
      <c r="D231" t="s">
        <v>4</v>
      </c>
      <c r="F231" t="s">
        <v>5</v>
      </c>
      <c r="H231" t="s">
        <v>6</v>
      </c>
      <c r="J231" t="s">
        <v>7</v>
      </c>
      <c r="K231" s="4" t="s">
        <v>8</v>
      </c>
      <c r="L231" s="4" t="s">
        <v>9</v>
      </c>
      <c r="M231" t="s">
        <v>10</v>
      </c>
    </row>
    <row r="232" spans="2:12" ht="12.75">
      <c r="B232" t="str">
        <f>"2840"</f>
        <v>2840</v>
      </c>
      <c r="C232" t="s">
        <v>27</v>
      </c>
      <c r="D232">
        <v>420704</v>
      </c>
      <c r="E232" t="s">
        <v>24</v>
      </c>
      <c r="F232">
        <v>310007</v>
      </c>
      <c r="G232" t="s">
        <v>82</v>
      </c>
      <c r="H232">
        <v>31</v>
      </c>
      <c r="I232" t="s">
        <v>26</v>
      </c>
      <c r="J232">
        <v>1</v>
      </c>
      <c r="K232" s="4">
        <v>63000</v>
      </c>
      <c r="L232" s="4">
        <v>63000</v>
      </c>
    </row>
    <row r="233" spans="1:2" ht="12.75">
      <c r="A233" t="s">
        <v>47</v>
      </c>
      <c r="B233">
        <f>SUM(L232:L232)</f>
        <v>63000</v>
      </c>
    </row>
    <row r="235" ht="12.75">
      <c r="A235" t="str">
        <f>"1528 - Služba Vlade Republike Slovenije za evropske zadeve, verzija: 1"</f>
        <v>1528 - Služba Vlade Republike Slovenije za evropske zadeve, verzija: 1</v>
      </c>
    </row>
    <row r="236" spans="2:13" ht="12.75">
      <c r="B236" t="s">
        <v>3</v>
      </c>
      <c r="D236" t="s">
        <v>4</v>
      </c>
      <c r="F236" t="s">
        <v>5</v>
      </c>
      <c r="H236" t="s">
        <v>6</v>
      </c>
      <c r="J236" t="s">
        <v>7</v>
      </c>
      <c r="K236" s="4" t="s">
        <v>8</v>
      </c>
      <c r="L236" s="4" t="s">
        <v>9</v>
      </c>
      <c r="M236" t="s">
        <v>10</v>
      </c>
    </row>
    <row r="237" spans="2:12" ht="12.75">
      <c r="B237" t="str">
        <f aca="true" t="shared" si="12" ref="B237:B243">"2639"</f>
        <v>2639</v>
      </c>
      <c r="C237" t="s">
        <v>40</v>
      </c>
      <c r="D237">
        <v>402007</v>
      </c>
      <c r="E237" t="s">
        <v>41</v>
      </c>
      <c r="F237">
        <v>370001</v>
      </c>
      <c r="G237" t="s">
        <v>133</v>
      </c>
      <c r="H237">
        <v>37</v>
      </c>
      <c r="I237" t="s">
        <v>134</v>
      </c>
      <c r="J237">
        <v>1</v>
      </c>
      <c r="K237" s="4">
        <v>30000</v>
      </c>
      <c r="L237" s="4">
        <v>30000</v>
      </c>
    </row>
    <row r="238" spans="2:12" ht="12.75">
      <c r="B238" t="str">
        <f t="shared" si="12"/>
        <v>2639</v>
      </c>
      <c r="C238" t="s">
        <v>40</v>
      </c>
      <c r="D238">
        <v>402007</v>
      </c>
      <c r="E238" t="s">
        <v>41</v>
      </c>
      <c r="F238">
        <v>390005</v>
      </c>
      <c r="G238" t="s">
        <v>25</v>
      </c>
      <c r="H238">
        <v>39</v>
      </c>
      <c r="I238" t="s">
        <v>141</v>
      </c>
      <c r="J238">
        <v>1</v>
      </c>
      <c r="K238" s="4">
        <v>70800</v>
      </c>
      <c r="L238" s="4">
        <v>70800</v>
      </c>
    </row>
    <row r="239" spans="2:12" ht="12.75">
      <c r="B239" t="str">
        <f t="shared" si="12"/>
        <v>2639</v>
      </c>
      <c r="C239" t="s">
        <v>40</v>
      </c>
      <c r="D239">
        <v>402510</v>
      </c>
      <c r="E239" t="s">
        <v>12</v>
      </c>
      <c r="F239">
        <v>400022</v>
      </c>
      <c r="G239" t="s">
        <v>142</v>
      </c>
      <c r="H239">
        <v>40</v>
      </c>
      <c r="I239" t="s">
        <v>50</v>
      </c>
      <c r="J239">
        <v>1</v>
      </c>
      <c r="K239" s="4">
        <v>28200</v>
      </c>
      <c r="L239" s="4">
        <v>28200</v>
      </c>
    </row>
    <row r="240" spans="2:12" ht="12.75">
      <c r="B240" t="str">
        <f t="shared" si="12"/>
        <v>2639</v>
      </c>
      <c r="C240" t="s">
        <v>40</v>
      </c>
      <c r="D240">
        <v>402513</v>
      </c>
      <c r="E240" t="s">
        <v>85</v>
      </c>
      <c r="F240">
        <v>260007</v>
      </c>
      <c r="G240" t="s">
        <v>25</v>
      </c>
      <c r="H240">
        <v>26</v>
      </c>
      <c r="I240" t="s">
        <v>69</v>
      </c>
      <c r="J240">
        <v>1</v>
      </c>
      <c r="K240" s="4">
        <v>30000</v>
      </c>
      <c r="L240" s="4">
        <v>30000</v>
      </c>
    </row>
    <row r="241" spans="2:12" ht="12.75">
      <c r="B241" t="str">
        <f t="shared" si="12"/>
        <v>2639</v>
      </c>
      <c r="C241" t="s">
        <v>40</v>
      </c>
      <c r="D241">
        <v>402515</v>
      </c>
      <c r="E241" t="s">
        <v>15</v>
      </c>
      <c r="F241">
        <v>400010</v>
      </c>
      <c r="G241" t="s">
        <v>35</v>
      </c>
      <c r="H241">
        <v>40</v>
      </c>
      <c r="I241" t="s">
        <v>50</v>
      </c>
      <c r="J241">
        <v>1</v>
      </c>
      <c r="K241" s="4">
        <v>30000</v>
      </c>
      <c r="L241" s="4">
        <v>30000</v>
      </c>
    </row>
    <row r="242" spans="2:12" ht="12.75">
      <c r="B242" t="str">
        <f t="shared" si="12"/>
        <v>2639</v>
      </c>
      <c r="C242" t="s">
        <v>40</v>
      </c>
      <c r="D242">
        <v>402515</v>
      </c>
      <c r="E242" t="s">
        <v>15</v>
      </c>
      <c r="F242">
        <v>400024</v>
      </c>
      <c r="G242" t="s">
        <v>25</v>
      </c>
      <c r="H242">
        <v>40</v>
      </c>
      <c r="I242" t="s">
        <v>50</v>
      </c>
      <c r="J242">
        <v>1</v>
      </c>
      <c r="K242" s="4">
        <v>30000</v>
      </c>
      <c r="L242" s="4">
        <v>30000</v>
      </c>
    </row>
    <row r="243" spans="2:12" ht="12.75">
      <c r="B243" t="str">
        <f t="shared" si="12"/>
        <v>2639</v>
      </c>
      <c r="C243" t="s">
        <v>40</v>
      </c>
      <c r="D243">
        <v>402607</v>
      </c>
      <c r="E243" t="s">
        <v>91</v>
      </c>
      <c r="F243">
        <v>310009</v>
      </c>
      <c r="G243" t="s">
        <v>25</v>
      </c>
      <c r="H243">
        <v>31</v>
      </c>
      <c r="I243" t="s">
        <v>26</v>
      </c>
      <c r="J243">
        <v>1</v>
      </c>
      <c r="K243" s="4">
        <v>27000</v>
      </c>
      <c r="L243" s="4">
        <v>27000</v>
      </c>
    </row>
    <row r="244" spans="2:12" ht="12.75">
      <c r="B244" t="str">
        <f>"2846"</f>
        <v>2846</v>
      </c>
      <c r="C244" t="s">
        <v>27</v>
      </c>
      <c r="D244">
        <v>420222</v>
      </c>
      <c r="E244" t="s">
        <v>60</v>
      </c>
      <c r="F244">
        <v>230003</v>
      </c>
      <c r="G244" t="s">
        <v>25</v>
      </c>
      <c r="H244">
        <v>23</v>
      </c>
      <c r="I244" t="s">
        <v>143</v>
      </c>
      <c r="J244">
        <v>5</v>
      </c>
      <c r="K244" s="4">
        <v>4000</v>
      </c>
      <c r="L244" s="4">
        <v>20000</v>
      </c>
    </row>
    <row r="245" spans="2:12" ht="12.75">
      <c r="B245" t="str">
        <f>"2846"</f>
        <v>2846</v>
      </c>
      <c r="C245" t="s">
        <v>27</v>
      </c>
      <c r="D245">
        <v>420238</v>
      </c>
      <c r="E245" t="s">
        <v>34</v>
      </c>
      <c r="F245">
        <v>100016</v>
      </c>
      <c r="G245" t="s">
        <v>25</v>
      </c>
      <c r="H245">
        <v>10</v>
      </c>
      <c r="I245" t="s">
        <v>35</v>
      </c>
      <c r="J245">
        <v>30</v>
      </c>
      <c r="K245" s="4">
        <v>100</v>
      </c>
      <c r="L245" s="4">
        <v>3000</v>
      </c>
    </row>
    <row r="246" spans="2:12" ht="12.75">
      <c r="B246" t="str">
        <f>"2846"</f>
        <v>2846</v>
      </c>
      <c r="C246" t="s">
        <v>27</v>
      </c>
      <c r="D246">
        <v>420238</v>
      </c>
      <c r="E246" t="s">
        <v>34</v>
      </c>
      <c r="F246">
        <v>120007</v>
      </c>
      <c r="G246" t="s">
        <v>25</v>
      </c>
      <c r="H246">
        <v>12</v>
      </c>
      <c r="I246" t="s">
        <v>38</v>
      </c>
      <c r="J246">
        <v>4</v>
      </c>
      <c r="K246" s="4">
        <v>12500</v>
      </c>
      <c r="L246" s="4">
        <v>50000</v>
      </c>
    </row>
    <row r="247" spans="2:12" ht="12.75">
      <c r="B247" t="str">
        <f>"2846"</f>
        <v>2846</v>
      </c>
      <c r="C247" t="s">
        <v>27</v>
      </c>
      <c r="D247">
        <v>420249</v>
      </c>
      <c r="E247" t="s">
        <v>39</v>
      </c>
      <c r="F247">
        <v>290018</v>
      </c>
      <c r="G247" t="s">
        <v>25</v>
      </c>
      <c r="H247">
        <v>29</v>
      </c>
      <c r="I247" t="s">
        <v>142</v>
      </c>
      <c r="J247">
        <v>1</v>
      </c>
      <c r="K247" s="4">
        <v>20000</v>
      </c>
      <c r="L247" s="4">
        <v>20000</v>
      </c>
    </row>
    <row r="248" spans="2:12" ht="12.75">
      <c r="B248" t="str">
        <f>"2846"</f>
        <v>2846</v>
      </c>
      <c r="C248" t="s">
        <v>27</v>
      </c>
      <c r="D248">
        <v>420703</v>
      </c>
      <c r="E248" t="s">
        <v>51</v>
      </c>
      <c r="F248">
        <v>310009</v>
      </c>
      <c r="G248" t="s">
        <v>25</v>
      </c>
      <c r="H248">
        <v>31</v>
      </c>
      <c r="I248" t="s">
        <v>26</v>
      </c>
      <c r="J248">
        <v>1</v>
      </c>
      <c r="K248" s="4">
        <v>50000</v>
      </c>
      <c r="L248" s="4">
        <v>50000</v>
      </c>
    </row>
    <row r="249" spans="1:2" ht="12.75">
      <c r="A249" t="s">
        <v>47</v>
      </c>
      <c r="B249">
        <f>SUM(L237:L248)</f>
        <v>389000</v>
      </c>
    </row>
    <row r="251" ht="12.75">
      <c r="A251" t="str">
        <f>"1532 - Urad RS za makroekonomske analize in razvoj, verzija: 1"</f>
        <v>1532 - Urad RS za makroekonomske analize in razvoj, verzija: 1</v>
      </c>
    </row>
    <row r="252" spans="2:13" ht="12.75">
      <c r="B252" t="s">
        <v>3</v>
      </c>
      <c r="D252" t="s">
        <v>4</v>
      </c>
      <c r="F252" t="s">
        <v>5</v>
      </c>
      <c r="H252" t="s">
        <v>6</v>
      </c>
      <c r="J252" t="s">
        <v>7</v>
      </c>
      <c r="K252" s="4" t="s">
        <v>8</v>
      </c>
      <c r="L252" s="4" t="s">
        <v>9</v>
      </c>
      <c r="M252" t="s">
        <v>10</v>
      </c>
    </row>
    <row r="253" spans="2:12" ht="12.75">
      <c r="B253" t="str">
        <f aca="true" t="shared" si="13" ref="B253:B260">"1570"</f>
        <v>1570</v>
      </c>
      <c r="C253" t="s">
        <v>27</v>
      </c>
      <c r="D253">
        <v>420202</v>
      </c>
      <c r="E253" t="s">
        <v>19</v>
      </c>
      <c r="F253">
        <v>10002</v>
      </c>
      <c r="G253" t="s">
        <v>20</v>
      </c>
      <c r="H253">
        <v>1</v>
      </c>
      <c r="I253" t="s">
        <v>21</v>
      </c>
      <c r="J253">
        <v>10</v>
      </c>
      <c r="K253" s="4">
        <v>600</v>
      </c>
      <c r="L253" s="4">
        <v>6000</v>
      </c>
    </row>
    <row r="254" spans="2:12" ht="12.75">
      <c r="B254" t="str">
        <f t="shared" si="13"/>
        <v>1570</v>
      </c>
      <c r="C254" t="s">
        <v>27</v>
      </c>
      <c r="D254">
        <v>420222</v>
      </c>
      <c r="E254" t="s">
        <v>60</v>
      </c>
      <c r="F254">
        <v>190009</v>
      </c>
      <c r="G254" t="s">
        <v>144</v>
      </c>
      <c r="H254">
        <v>19</v>
      </c>
      <c r="I254" t="s">
        <v>62</v>
      </c>
      <c r="J254">
        <v>1</v>
      </c>
      <c r="K254" s="4">
        <v>11500</v>
      </c>
      <c r="L254" s="4">
        <v>11500</v>
      </c>
    </row>
    <row r="255" spans="2:12" ht="12.75">
      <c r="B255" t="str">
        <f t="shared" si="13"/>
        <v>1570</v>
      </c>
      <c r="C255" t="s">
        <v>27</v>
      </c>
      <c r="D255">
        <v>420238</v>
      </c>
      <c r="E255" t="s">
        <v>34</v>
      </c>
      <c r="F255">
        <v>200001</v>
      </c>
      <c r="G255" t="s">
        <v>145</v>
      </c>
      <c r="H255">
        <v>20</v>
      </c>
      <c r="I255" t="s">
        <v>146</v>
      </c>
      <c r="J255">
        <v>1</v>
      </c>
      <c r="K255" s="4">
        <v>400</v>
      </c>
      <c r="L255" s="4">
        <v>400</v>
      </c>
    </row>
    <row r="256" spans="2:12" ht="12.75">
      <c r="B256" t="str">
        <f t="shared" si="13"/>
        <v>1570</v>
      </c>
      <c r="C256" t="s">
        <v>27</v>
      </c>
      <c r="D256">
        <v>420703</v>
      </c>
      <c r="E256" t="s">
        <v>51</v>
      </c>
      <c r="F256">
        <v>310009</v>
      </c>
      <c r="G256" t="s">
        <v>25</v>
      </c>
      <c r="H256">
        <v>31</v>
      </c>
      <c r="I256" t="s">
        <v>26</v>
      </c>
      <c r="J256">
        <v>1</v>
      </c>
      <c r="K256" s="4">
        <v>1500</v>
      </c>
      <c r="L256" s="4">
        <v>1500</v>
      </c>
    </row>
    <row r="257" spans="2:12" ht="12.75">
      <c r="B257" t="str">
        <f t="shared" si="13"/>
        <v>1570</v>
      </c>
      <c r="C257" t="s">
        <v>27</v>
      </c>
      <c r="D257">
        <v>420703</v>
      </c>
      <c r="E257" t="s">
        <v>51</v>
      </c>
      <c r="F257">
        <v>310009</v>
      </c>
      <c r="G257" t="s">
        <v>25</v>
      </c>
      <c r="H257">
        <v>31</v>
      </c>
      <c r="I257" t="s">
        <v>26</v>
      </c>
      <c r="J257">
        <v>1</v>
      </c>
      <c r="K257" s="4">
        <v>6000</v>
      </c>
      <c r="L257" s="4">
        <v>6000</v>
      </c>
    </row>
    <row r="258" spans="2:12" ht="12.75">
      <c r="B258" t="str">
        <f t="shared" si="13"/>
        <v>1570</v>
      </c>
      <c r="C258" t="s">
        <v>27</v>
      </c>
      <c r="D258">
        <v>420704</v>
      </c>
      <c r="E258" t="s">
        <v>24</v>
      </c>
      <c r="F258">
        <v>260001</v>
      </c>
      <c r="G258" t="s">
        <v>147</v>
      </c>
      <c r="H258">
        <v>26</v>
      </c>
      <c r="I258" t="s">
        <v>69</v>
      </c>
      <c r="J258">
        <v>1</v>
      </c>
      <c r="K258" s="4">
        <v>18000</v>
      </c>
      <c r="L258" s="4">
        <v>18000</v>
      </c>
    </row>
    <row r="259" spans="2:12" ht="12.75">
      <c r="B259" t="str">
        <f t="shared" si="13"/>
        <v>1570</v>
      </c>
      <c r="C259" t="s">
        <v>27</v>
      </c>
      <c r="D259">
        <v>420704</v>
      </c>
      <c r="E259" t="s">
        <v>24</v>
      </c>
      <c r="F259">
        <v>310002</v>
      </c>
      <c r="G259" t="s">
        <v>86</v>
      </c>
      <c r="H259">
        <v>31</v>
      </c>
      <c r="I259" t="s">
        <v>26</v>
      </c>
      <c r="J259">
        <v>1</v>
      </c>
      <c r="K259" s="4">
        <v>3000</v>
      </c>
      <c r="L259" s="4">
        <v>3000</v>
      </c>
    </row>
    <row r="260" spans="2:12" ht="12.75">
      <c r="B260" t="str">
        <f t="shared" si="13"/>
        <v>1570</v>
      </c>
      <c r="C260" t="s">
        <v>27</v>
      </c>
      <c r="D260">
        <v>420704</v>
      </c>
      <c r="E260" t="s">
        <v>24</v>
      </c>
      <c r="F260">
        <v>310008</v>
      </c>
      <c r="G260" t="s">
        <v>148</v>
      </c>
      <c r="H260">
        <v>31</v>
      </c>
      <c r="I260" t="s">
        <v>26</v>
      </c>
      <c r="J260">
        <v>1</v>
      </c>
      <c r="K260" s="4">
        <v>6000</v>
      </c>
      <c r="L260" s="4">
        <v>6000</v>
      </c>
    </row>
    <row r="261" spans="2:12" ht="12.75">
      <c r="B261" t="str">
        <f>"6305"</f>
        <v>6305</v>
      </c>
      <c r="C261" t="s">
        <v>149</v>
      </c>
      <c r="D261">
        <v>420704</v>
      </c>
      <c r="E261" t="s">
        <v>24</v>
      </c>
      <c r="F261">
        <v>410007</v>
      </c>
      <c r="G261" t="s">
        <v>25</v>
      </c>
      <c r="H261">
        <v>41</v>
      </c>
      <c r="I261" t="s">
        <v>14</v>
      </c>
      <c r="J261">
        <v>1</v>
      </c>
      <c r="K261" s="4">
        <v>9000</v>
      </c>
      <c r="L261" s="4">
        <v>9000</v>
      </c>
    </row>
    <row r="262" spans="1:2" ht="12.75">
      <c r="A262" t="s">
        <v>47</v>
      </c>
      <c r="B262">
        <f>SUM(L253:L261)</f>
        <v>61400</v>
      </c>
    </row>
    <row r="264" ht="12.75">
      <c r="A264" t="str">
        <f>"1536 - Služba Vlade RS za lokalno samoupravo in regionalno politiko, verzija: 3"</f>
        <v>1536 - Služba Vlade RS za lokalno samoupravo in regionalno politiko, verzija: 3</v>
      </c>
    </row>
    <row r="265" spans="2:13" ht="12.75">
      <c r="B265" t="s">
        <v>3</v>
      </c>
      <c r="D265" t="s">
        <v>4</v>
      </c>
      <c r="F265" t="s">
        <v>5</v>
      </c>
      <c r="H265" t="s">
        <v>6</v>
      </c>
      <c r="J265" t="s">
        <v>7</v>
      </c>
      <c r="K265" s="4" t="s">
        <v>8</v>
      </c>
      <c r="L265" s="4" t="s">
        <v>9</v>
      </c>
      <c r="M265" t="s">
        <v>10</v>
      </c>
    </row>
    <row r="266" spans="2:12" ht="12.75">
      <c r="B266" t="str">
        <f>"1004"</f>
        <v>1004</v>
      </c>
      <c r="C266" t="s">
        <v>150</v>
      </c>
      <c r="D266">
        <v>420202</v>
      </c>
      <c r="E266" t="s">
        <v>19</v>
      </c>
      <c r="F266">
        <v>310005</v>
      </c>
      <c r="G266" t="s">
        <v>46</v>
      </c>
      <c r="H266">
        <v>31</v>
      </c>
      <c r="I266" t="s">
        <v>26</v>
      </c>
      <c r="J266">
        <v>2</v>
      </c>
      <c r="K266" s="4">
        <v>800</v>
      </c>
      <c r="L266" s="4">
        <v>1600</v>
      </c>
    </row>
    <row r="267" spans="2:12" ht="12.75">
      <c r="B267" t="str">
        <f aca="true" t="shared" si="14" ref="B267:B272">"1102"</f>
        <v>1102</v>
      </c>
      <c r="C267" t="s">
        <v>40</v>
      </c>
      <c r="D267">
        <v>402007</v>
      </c>
      <c r="E267" t="s">
        <v>41</v>
      </c>
      <c r="F267">
        <v>360006</v>
      </c>
      <c r="G267" t="s">
        <v>151</v>
      </c>
      <c r="H267">
        <v>36</v>
      </c>
      <c r="I267" t="s">
        <v>124</v>
      </c>
      <c r="J267">
        <v>1</v>
      </c>
      <c r="K267" s="4">
        <v>40000</v>
      </c>
      <c r="L267" s="4">
        <v>40000</v>
      </c>
    </row>
    <row r="268" spans="2:12" ht="12.75">
      <c r="B268" t="str">
        <f t="shared" si="14"/>
        <v>1102</v>
      </c>
      <c r="C268" t="s">
        <v>40</v>
      </c>
      <c r="D268">
        <v>402510</v>
      </c>
      <c r="E268" t="s">
        <v>12</v>
      </c>
      <c r="F268">
        <v>350002</v>
      </c>
      <c r="G268" t="s">
        <v>88</v>
      </c>
      <c r="H268">
        <v>35</v>
      </c>
      <c r="I268" t="s">
        <v>17</v>
      </c>
      <c r="J268">
        <v>1</v>
      </c>
      <c r="K268" s="4">
        <v>1000</v>
      </c>
      <c r="L268" s="4">
        <v>1000</v>
      </c>
    </row>
    <row r="269" spans="2:12" ht="12.75">
      <c r="B269" t="str">
        <f t="shared" si="14"/>
        <v>1102</v>
      </c>
      <c r="C269" t="s">
        <v>40</v>
      </c>
      <c r="D269">
        <v>402513</v>
      </c>
      <c r="E269" t="s">
        <v>85</v>
      </c>
      <c r="F269">
        <v>350005</v>
      </c>
      <c r="G269" t="s">
        <v>96</v>
      </c>
      <c r="H269">
        <v>35</v>
      </c>
      <c r="I269" t="s">
        <v>17</v>
      </c>
      <c r="J269">
        <v>1</v>
      </c>
      <c r="K269" s="4">
        <v>8500</v>
      </c>
      <c r="L269" s="4">
        <v>8500</v>
      </c>
    </row>
    <row r="270" spans="2:12" ht="12.75">
      <c r="B270" t="str">
        <f t="shared" si="14"/>
        <v>1102</v>
      </c>
      <c r="C270" t="s">
        <v>40</v>
      </c>
      <c r="D270">
        <v>402514</v>
      </c>
      <c r="E270" t="s">
        <v>45</v>
      </c>
      <c r="F270">
        <v>350005</v>
      </c>
      <c r="G270" t="s">
        <v>96</v>
      </c>
      <c r="H270">
        <v>35</v>
      </c>
      <c r="I270" t="s">
        <v>17</v>
      </c>
      <c r="J270">
        <v>1</v>
      </c>
      <c r="K270" s="4">
        <v>25000</v>
      </c>
      <c r="L270" s="4">
        <v>25000</v>
      </c>
    </row>
    <row r="271" spans="2:12" ht="12.75">
      <c r="B271" t="str">
        <f t="shared" si="14"/>
        <v>1102</v>
      </c>
      <c r="C271" t="s">
        <v>40</v>
      </c>
      <c r="D271">
        <v>402515</v>
      </c>
      <c r="E271" t="s">
        <v>15</v>
      </c>
      <c r="F271">
        <v>350001</v>
      </c>
      <c r="G271" t="s">
        <v>16</v>
      </c>
      <c r="H271">
        <v>35</v>
      </c>
      <c r="I271" t="s">
        <v>17</v>
      </c>
      <c r="J271">
        <v>1</v>
      </c>
      <c r="K271" s="4">
        <v>20000</v>
      </c>
      <c r="L271" s="4">
        <v>20000</v>
      </c>
    </row>
    <row r="272" spans="2:12" ht="12.75">
      <c r="B272" t="str">
        <f t="shared" si="14"/>
        <v>1102</v>
      </c>
      <c r="C272" t="s">
        <v>40</v>
      </c>
      <c r="D272">
        <v>402515</v>
      </c>
      <c r="E272" t="s">
        <v>15</v>
      </c>
      <c r="F272">
        <v>350008</v>
      </c>
      <c r="G272" t="s">
        <v>127</v>
      </c>
      <c r="H272">
        <v>35</v>
      </c>
      <c r="I272" t="s">
        <v>17</v>
      </c>
      <c r="J272">
        <v>1</v>
      </c>
      <c r="K272" s="4">
        <v>24000</v>
      </c>
      <c r="L272" s="4">
        <v>24000</v>
      </c>
    </row>
    <row r="273" spans="2:12" ht="12.75">
      <c r="B273" t="str">
        <f aca="true" t="shared" si="15" ref="B273:B281">"1104"</f>
        <v>1104</v>
      </c>
      <c r="C273" t="s">
        <v>27</v>
      </c>
      <c r="D273">
        <v>420202</v>
      </c>
      <c r="E273" t="s">
        <v>19</v>
      </c>
      <c r="F273">
        <v>10002</v>
      </c>
      <c r="G273" t="s">
        <v>20</v>
      </c>
      <c r="H273">
        <v>1</v>
      </c>
      <c r="I273" t="s">
        <v>21</v>
      </c>
      <c r="J273">
        <v>30</v>
      </c>
      <c r="K273" s="4">
        <v>650</v>
      </c>
      <c r="L273" s="4">
        <v>19500</v>
      </c>
    </row>
    <row r="274" spans="2:12" ht="12.75">
      <c r="B274" t="str">
        <f t="shared" si="15"/>
        <v>1104</v>
      </c>
      <c r="C274" t="s">
        <v>27</v>
      </c>
      <c r="D274">
        <v>420202</v>
      </c>
      <c r="E274" t="s">
        <v>19</v>
      </c>
      <c r="F274">
        <v>20001</v>
      </c>
      <c r="G274" t="s">
        <v>29</v>
      </c>
      <c r="H274">
        <v>2</v>
      </c>
      <c r="I274" t="s">
        <v>30</v>
      </c>
      <c r="J274">
        <v>5</v>
      </c>
      <c r="K274" s="4">
        <v>1500</v>
      </c>
      <c r="L274" s="4">
        <v>7500</v>
      </c>
    </row>
    <row r="275" spans="2:12" ht="12.75">
      <c r="B275" t="str">
        <f t="shared" si="15"/>
        <v>1104</v>
      </c>
      <c r="C275" t="s">
        <v>27</v>
      </c>
      <c r="D275">
        <v>420202</v>
      </c>
      <c r="E275" t="s">
        <v>19</v>
      </c>
      <c r="F275">
        <v>40001</v>
      </c>
      <c r="G275" t="s">
        <v>59</v>
      </c>
      <c r="H275">
        <v>4</v>
      </c>
      <c r="I275" t="s">
        <v>23</v>
      </c>
      <c r="J275">
        <v>30</v>
      </c>
      <c r="K275" s="4">
        <v>200</v>
      </c>
      <c r="L275" s="4">
        <v>6000</v>
      </c>
    </row>
    <row r="276" spans="2:12" ht="12.75">
      <c r="B276" t="str">
        <f t="shared" si="15"/>
        <v>1104</v>
      </c>
      <c r="C276" t="s">
        <v>27</v>
      </c>
      <c r="D276">
        <v>420202</v>
      </c>
      <c r="E276" t="s">
        <v>19</v>
      </c>
      <c r="F276">
        <v>60002</v>
      </c>
      <c r="G276" t="s">
        <v>31</v>
      </c>
      <c r="H276">
        <v>6</v>
      </c>
      <c r="I276" t="s">
        <v>32</v>
      </c>
      <c r="J276">
        <v>5</v>
      </c>
      <c r="K276" s="4">
        <v>300</v>
      </c>
      <c r="L276" s="4">
        <v>1500</v>
      </c>
    </row>
    <row r="277" spans="2:12" ht="12.75">
      <c r="B277" t="str">
        <f t="shared" si="15"/>
        <v>1104</v>
      </c>
      <c r="C277" t="s">
        <v>27</v>
      </c>
      <c r="D277">
        <v>420202</v>
      </c>
      <c r="E277" t="s">
        <v>19</v>
      </c>
      <c r="F277">
        <v>60002</v>
      </c>
      <c r="G277" t="s">
        <v>31</v>
      </c>
      <c r="H277">
        <v>6</v>
      </c>
      <c r="I277" t="s">
        <v>32</v>
      </c>
      <c r="J277">
        <v>2</v>
      </c>
      <c r="K277" s="4">
        <v>1300</v>
      </c>
      <c r="L277" s="4">
        <v>2600</v>
      </c>
    </row>
    <row r="278" spans="2:12" ht="12.75">
      <c r="B278" t="str">
        <f t="shared" si="15"/>
        <v>1104</v>
      </c>
      <c r="C278" t="s">
        <v>27</v>
      </c>
      <c r="D278">
        <v>420202</v>
      </c>
      <c r="E278" t="s">
        <v>19</v>
      </c>
      <c r="F278">
        <v>60004</v>
      </c>
      <c r="G278" t="s">
        <v>33</v>
      </c>
      <c r="H278">
        <v>6</v>
      </c>
      <c r="I278" t="s">
        <v>32</v>
      </c>
      <c r="J278">
        <v>2</v>
      </c>
      <c r="K278" s="4">
        <v>7000</v>
      </c>
      <c r="L278" s="4">
        <v>14000</v>
      </c>
    </row>
    <row r="279" spans="2:12" ht="12.75">
      <c r="B279" t="str">
        <f t="shared" si="15"/>
        <v>1104</v>
      </c>
      <c r="C279" t="s">
        <v>27</v>
      </c>
      <c r="D279">
        <v>420202</v>
      </c>
      <c r="E279" t="s">
        <v>19</v>
      </c>
      <c r="F279">
        <v>70003</v>
      </c>
      <c r="G279" t="s">
        <v>73</v>
      </c>
      <c r="H279">
        <v>7</v>
      </c>
      <c r="I279" t="s">
        <v>74</v>
      </c>
      <c r="J279">
        <v>2</v>
      </c>
      <c r="K279" s="4">
        <v>2000</v>
      </c>
      <c r="L279" s="4">
        <v>4000</v>
      </c>
    </row>
    <row r="280" spans="2:12" ht="12.75">
      <c r="B280" t="str">
        <f t="shared" si="15"/>
        <v>1104</v>
      </c>
      <c r="C280" t="s">
        <v>27</v>
      </c>
      <c r="D280">
        <v>420202</v>
      </c>
      <c r="E280" t="s">
        <v>19</v>
      </c>
      <c r="F280">
        <v>310004</v>
      </c>
      <c r="G280" t="s">
        <v>121</v>
      </c>
      <c r="H280">
        <v>31</v>
      </c>
      <c r="I280" t="s">
        <v>26</v>
      </c>
      <c r="J280">
        <v>35</v>
      </c>
      <c r="K280" s="4">
        <v>150</v>
      </c>
      <c r="L280" s="4">
        <v>5250</v>
      </c>
    </row>
    <row r="281" spans="2:12" ht="12.75">
      <c r="B281" t="str">
        <f t="shared" si="15"/>
        <v>1104</v>
      </c>
      <c r="C281" t="s">
        <v>27</v>
      </c>
      <c r="D281">
        <v>420202</v>
      </c>
      <c r="E281" t="s">
        <v>19</v>
      </c>
      <c r="F281">
        <v>400013</v>
      </c>
      <c r="G281" t="s">
        <v>152</v>
      </c>
      <c r="H281">
        <v>40</v>
      </c>
      <c r="I281" t="s">
        <v>50</v>
      </c>
      <c r="J281">
        <v>1</v>
      </c>
      <c r="K281" s="4">
        <v>8500</v>
      </c>
      <c r="L281" s="4">
        <v>8500</v>
      </c>
    </row>
    <row r="282" spans="2:12" ht="12.75">
      <c r="B282" t="str">
        <f>"1592"</f>
        <v>1592</v>
      </c>
      <c r="C282" t="s">
        <v>153</v>
      </c>
      <c r="D282">
        <v>402007</v>
      </c>
      <c r="E282" t="s">
        <v>41</v>
      </c>
      <c r="F282">
        <v>360006</v>
      </c>
      <c r="G282" t="s">
        <v>151</v>
      </c>
      <c r="H282">
        <v>36</v>
      </c>
      <c r="I282" t="s">
        <v>124</v>
      </c>
      <c r="J282">
        <v>1</v>
      </c>
      <c r="K282" s="4">
        <v>70018</v>
      </c>
      <c r="L282" s="4">
        <v>70018</v>
      </c>
    </row>
    <row r="283" spans="2:12" ht="12.75">
      <c r="B283" t="str">
        <f>"1592"</f>
        <v>1592</v>
      </c>
      <c r="C283" t="s">
        <v>153</v>
      </c>
      <c r="D283">
        <v>402011</v>
      </c>
      <c r="E283" t="s">
        <v>54</v>
      </c>
      <c r="F283">
        <v>390003</v>
      </c>
      <c r="G283" t="s">
        <v>154</v>
      </c>
      <c r="H283">
        <v>39</v>
      </c>
      <c r="I283" t="s">
        <v>141</v>
      </c>
      <c r="J283">
        <v>1</v>
      </c>
      <c r="K283" s="4">
        <v>62594</v>
      </c>
      <c r="L283" s="4">
        <v>62594</v>
      </c>
    </row>
    <row r="284" spans="2:12" ht="12.75">
      <c r="B284" t="str">
        <f>"1592"</f>
        <v>1592</v>
      </c>
      <c r="C284" t="s">
        <v>153</v>
      </c>
      <c r="D284">
        <v>402514</v>
      </c>
      <c r="E284" t="s">
        <v>45</v>
      </c>
      <c r="F284">
        <v>350005</v>
      </c>
      <c r="G284" t="s">
        <v>96</v>
      </c>
      <c r="H284">
        <v>35</v>
      </c>
      <c r="I284" t="s">
        <v>17</v>
      </c>
      <c r="J284">
        <v>1</v>
      </c>
      <c r="K284" s="4">
        <v>83459</v>
      </c>
      <c r="L284" s="4">
        <v>83459</v>
      </c>
    </row>
    <row r="285" spans="2:12" ht="12.75">
      <c r="B285" t="str">
        <f>"1592"</f>
        <v>1592</v>
      </c>
      <c r="C285" t="s">
        <v>153</v>
      </c>
      <c r="D285">
        <v>402941</v>
      </c>
      <c r="E285" t="s">
        <v>98</v>
      </c>
      <c r="F285">
        <v>440002</v>
      </c>
      <c r="G285" t="s">
        <v>155</v>
      </c>
      <c r="H285">
        <v>44</v>
      </c>
      <c r="I285" t="s">
        <v>99</v>
      </c>
      <c r="J285">
        <v>1</v>
      </c>
      <c r="K285" s="4">
        <v>20865</v>
      </c>
      <c r="L285" s="4">
        <v>20865</v>
      </c>
    </row>
    <row r="286" spans="2:12" ht="12.75">
      <c r="B286" t="str">
        <f aca="true" t="shared" si="16" ref="B286:B294">"9189"</f>
        <v>9189</v>
      </c>
      <c r="C286" t="s">
        <v>156</v>
      </c>
      <c r="D286">
        <v>420202</v>
      </c>
      <c r="E286" t="s">
        <v>19</v>
      </c>
      <c r="F286">
        <v>20001</v>
      </c>
      <c r="G286" t="s">
        <v>29</v>
      </c>
      <c r="H286">
        <v>2</v>
      </c>
      <c r="I286" t="s">
        <v>30</v>
      </c>
      <c r="J286">
        <v>3</v>
      </c>
      <c r="K286" s="4">
        <v>2125</v>
      </c>
      <c r="L286" s="4">
        <v>6375</v>
      </c>
    </row>
    <row r="287" spans="2:12" ht="12.75">
      <c r="B287" t="str">
        <f t="shared" si="16"/>
        <v>9189</v>
      </c>
      <c r="C287" t="s">
        <v>156</v>
      </c>
      <c r="D287">
        <v>420202</v>
      </c>
      <c r="E287" t="s">
        <v>19</v>
      </c>
      <c r="F287">
        <v>40001</v>
      </c>
      <c r="G287" t="s">
        <v>59</v>
      </c>
      <c r="H287">
        <v>4</v>
      </c>
      <c r="I287" t="s">
        <v>23</v>
      </c>
      <c r="J287">
        <v>10</v>
      </c>
      <c r="K287" s="4">
        <v>170</v>
      </c>
      <c r="L287" s="4">
        <v>1700</v>
      </c>
    </row>
    <row r="288" spans="2:12" ht="12.75">
      <c r="B288" t="str">
        <f t="shared" si="16"/>
        <v>9189</v>
      </c>
      <c r="C288" t="s">
        <v>156</v>
      </c>
      <c r="D288">
        <v>420202</v>
      </c>
      <c r="E288" t="s">
        <v>19</v>
      </c>
      <c r="F288">
        <v>60002</v>
      </c>
      <c r="G288" t="s">
        <v>31</v>
      </c>
      <c r="H288">
        <v>6</v>
      </c>
      <c r="I288" t="s">
        <v>32</v>
      </c>
      <c r="J288">
        <v>2</v>
      </c>
      <c r="K288" s="4">
        <v>1105</v>
      </c>
      <c r="L288" s="4">
        <v>2210</v>
      </c>
    </row>
    <row r="289" spans="2:12" ht="12.75">
      <c r="B289" t="str">
        <f t="shared" si="16"/>
        <v>9189</v>
      </c>
      <c r="C289" t="s">
        <v>156</v>
      </c>
      <c r="D289">
        <v>420202</v>
      </c>
      <c r="E289" t="s">
        <v>19</v>
      </c>
      <c r="F289">
        <v>60003</v>
      </c>
      <c r="G289" t="s">
        <v>157</v>
      </c>
      <c r="H289">
        <v>6</v>
      </c>
      <c r="I289" t="s">
        <v>32</v>
      </c>
      <c r="J289">
        <v>10</v>
      </c>
      <c r="K289" s="4">
        <v>255</v>
      </c>
      <c r="L289" s="4">
        <v>2550</v>
      </c>
    </row>
    <row r="290" spans="2:12" ht="12.75">
      <c r="B290" t="str">
        <f t="shared" si="16"/>
        <v>9189</v>
      </c>
      <c r="C290" t="s">
        <v>156</v>
      </c>
      <c r="D290">
        <v>420202</v>
      </c>
      <c r="E290" t="s">
        <v>19</v>
      </c>
      <c r="F290">
        <v>60004</v>
      </c>
      <c r="G290" t="s">
        <v>33</v>
      </c>
      <c r="H290">
        <v>6</v>
      </c>
      <c r="I290" t="s">
        <v>32</v>
      </c>
      <c r="J290">
        <v>2</v>
      </c>
      <c r="K290" s="4">
        <v>5950</v>
      </c>
      <c r="L290" s="4">
        <v>11900</v>
      </c>
    </row>
    <row r="291" spans="2:12" ht="12.75">
      <c r="B291" t="str">
        <f t="shared" si="16"/>
        <v>9189</v>
      </c>
      <c r="C291" t="s">
        <v>156</v>
      </c>
      <c r="D291">
        <v>420202</v>
      </c>
      <c r="E291" t="s">
        <v>19</v>
      </c>
      <c r="F291">
        <v>70003</v>
      </c>
      <c r="G291" t="s">
        <v>73</v>
      </c>
      <c r="H291">
        <v>7</v>
      </c>
      <c r="I291" t="s">
        <v>74</v>
      </c>
      <c r="J291">
        <v>1</v>
      </c>
      <c r="K291" s="4">
        <v>1700</v>
      </c>
      <c r="L291" s="4">
        <v>1700</v>
      </c>
    </row>
    <row r="292" spans="2:12" ht="12.75">
      <c r="B292" t="str">
        <f t="shared" si="16"/>
        <v>9189</v>
      </c>
      <c r="C292" t="s">
        <v>156</v>
      </c>
      <c r="D292">
        <v>420202</v>
      </c>
      <c r="E292" t="s">
        <v>19</v>
      </c>
      <c r="F292">
        <v>100002</v>
      </c>
      <c r="G292" t="s">
        <v>158</v>
      </c>
      <c r="H292">
        <v>10</v>
      </c>
      <c r="I292" t="s">
        <v>35</v>
      </c>
      <c r="J292">
        <v>10</v>
      </c>
      <c r="K292" s="4">
        <v>552.5</v>
      </c>
      <c r="L292" s="4">
        <v>5525</v>
      </c>
    </row>
    <row r="293" spans="2:12" ht="12.75">
      <c r="B293" t="str">
        <f t="shared" si="16"/>
        <v>9189</v>
      </c>
      <c r="C293" t="s">
        <v>156</v>
      </c>
      <c r="D293">
        <v>420202</v>
      </c>
      <c r="E293" t="s">
        <v>19</v>
      </c>
      <c r="F293">
        <v>310004</v>
      </c>
      <c r="G293" t="s">
        <v>121</v>
      </c>
      <c r="H293">
        <v>31</v>
      </c>
      <c r="I293" t="s">
        <v>26</v>
      </c>
      <c r="J293">
        <v>30</v>
      </c>
      <c r="K293" s="4">
        <v>127.5</v>
      </c>
      <c r="L293" s="4">
        <v>3825</v>
      </c>
    </row>
    <row r="294" spans="2:12" ht="12.75">
      <c r="B294" t="str">
        <f t="shared" si="16"/>
        <v>9189</v>
      </c>
      <c r="C294" t="s">
        <v>156</v>
      </c>
      <c r="D294">
        <v>420202</v>
      </c>
      <c r="E294" t="s">
        <v>19</v>
      </c>
      <c r="F294">
        <v>310004</v>
      </c>
      <c r="G294" t="s">
        <v>121</v>
      </c>
      <c r="H294">
        <v>31</v>
      </c>
      <c r="I294" t="s">
        <v>26</v>
      </c>
      <c r="J294">
        <v>1</v>
      </c>
      <c r="K294" s="4">
        <v>680</v>
      </c>
      <c r="L294" s="4">
        <v>680</v>
      </c>
    </row>
    <row r="295" spans="2:12" ht="12.75">
      <c r="B295" t="str">
        <f aca="true" t="shared" si="17" ref="B295:B303">"9190"</f>
        <v>9190</v>
      </c>
      <c r="C295" t="s">
        <v>159</v>
      </c>
      <c r="D295">
        <v>420202</v>
      </c>
      <c r="E295" t="s">
        <v>19</v>
      </c>
      <c r="F295">
        <v>20001</v>
      </c>
      <c r="G295" t="s">
        <v>29</v>
      </c>
      <c r="H295">
        <v>2</v>
      </c>
      <c r="I295" t="s">
        <v>30</v>
      </c>
      <c r="J295">
        <v>3</v>
      </c>
      <c r="K295" s="4">
        <v>375</v>
      </c>
      <c r="L295" s="4">
        <v>1125</v>
      </c>
    </row>
    <row r="296" spans="2:12" ht="12.75">
      <c r="B296" t="str">
        <f t="shared" si="17"/>
        <v>9190</v>
      </c>
      <c r="C296" t="s">
        <v>159</v>
      </c>
      <c r="D296">
        <v>420202</v>
      </c>
      <c r="E296" t="s">
        <v>19</v>
      </c>
      <c r="F296">
        <v>40001</v>
      </c>
      <c r="G296" t="s">
        <v>59</v>
      </c>
      <c r="H296">
        <v>4</v>
      </c>
      <c r="I296" t="s">
        <v>23</v>
      </c>
      <c r="J296">
        <v>10</v>
      </c>
      <c r="K296" s="4">
        <v>30</v>
      </c>
      <c r="L296" s="4">
        <v>300</v>
      </c>
    </row>
    <row r="297" spans="2:12" ht="12.75">
      <c r="B297" t="str">
        <f t="shared" si="17"/>
        <v>9190</v>
      </c>
      <c r="C297" t="s">
        <v>159</v>
      </c>
      <c r="D297">
        <v>420202</v>
      </c>
      <c r="E297" t="s">
        <v>19</v>
      </c>
      <c r="F297">
        <v>60002</v>
      </c>
      <c r="G297" t="s">
        <v>31</v>
      </c>
      <c r="H297">
        <v>6</v>
      </c>
      <c r="I297" t="s">
        <v>32</v>
      </c>
      <c r="J297">
        <v>2</v>
      </c>
      <c r="K297" s="4">
        <v>195</v>
      </c>
      <c r="L297" s="4">
        <v>390</v>
      </c>
    </row>
    <row r="298" spans="2:12" ht="12.75">
      <c r="B298" t="str">
        <f t="shared" si="17"/>
        <v>9190</v>
      </c>
      <c r="C298" t="s">
        <v>159</v>
      </c>
      <c r="D298">
        <v>420202</v>
      </c>
      <c r="E298" t="s">
        <v>19</v>
      </c>
      <c r="F298">
        <v>60003</v>
      </c>
      <c r="G298" t="s">
        <v>157</v>
      </c>
      <c r="H298">
        <v>6</v>
      </c>
      <c r="I298" t="s">
        <v>32</v>
      </c>
      <c r="J298">
        <v>10</v>
      </c>
      <c r="K298" s="4">
        <v>45</v>
      </c>
      <c r="L298" s="4">
        <v>450</v>
      </c>
    </row>
    <row r="299" spans="2:12" ht="12.75">
      <c r="B299" t="str">
        <f t="shared" si="17"/>
        <v>9190</v>
      </c>
      <c r="C299" t="s">
        <v>159</v>
      </c>
      <c r="D299">
        <v>420202</v>
      </c>
      <c r="E299" t="s">
        <v>19</v>
      </c>
      <c r="F299">
        <v>60004</v>
      </c>
      <c r="G299" t="s">
        <v>33</v>
      </c>
      <c r="H299">
        <v>6</v>
      </c>
      <c r="I299" t="s">
        <v>32</v>
      </c>
      <c r="J299">
        <v>2</v>
      </c>
      <c r="K299" s="4">
        <v>1050</v>
      </c>
      <c r="L299" s="4">
        <v>2100</v>
      </c>
    </row>
    <row r="300" spans="2:12" ht="12.75">
      <c r="B300" t="str">
        <f t="shared" si="17"/>
        <v>9190</v>
      </c>
      <c r="C300" t="s">
        <v>159</v>
      </c>
      <c r="D300">
        <v>420202</v>
      </c>
      <c r="E300" t="s">
        <v>19</v>
      </c>
      <c r="F300">
        <v>70003</v>
      </c>
      <c r="G300" t="s">
        <v>73</v>
      </c>
      <c r="H300">
        <v>7</v>
      </c>
      <c r="I300" t="s">
        <v>74</v>
      </c>
      <c r="J300">
        <v>1</v>
      </c>
      <c r="K300" s="4">
        <v>300</v>
      </c>
      <c r="L300" s="4">
        <v>300</v>
      </c>
    </row>
    <row r="301" spans="2:12" ht="12.75">
      <c r="B301" t="str">
        <f t="shared" si="17"/>
        <v>9190</v>
      </c>
      <c r="C301" t="s">
        <v>159</v>
      </c>
      <c r="D301">
        <v>420202</v>
      </c>
      <c r="E301" t="s">
        <v>19</v>
      </c>
      <c r="F301">
        <v>100002</v>
      </c>
      <c r="G301" t="s">
        <v>158</v>
      </c>
      <c r="H301">
        <v>10</v>
      </c>
      <c r="I301" t="s">
        <v>35</v>
      </c>
      <c r="J301">
        <v>10</v>
      </c>
      <c r="K301" s="4">
        <v>97.5</v>
      </c>
      <c r="L301" s="4">
        <v>975</v>
      </c>
    </row>
    <row r="302" spans="2:12" ht="12.75">
      <c r="B302" t="str">
        <f t="shared" si="17"/>
        <v>9190</v>
      </c>
      <c r="C302" t="s">
        <v>159</v>
      </c>
      <c r="D302">
        <v>420202</v>
      </c>
      <c r="E302" t="s">
        <v>19</v>
      </c>
      <c r="F302">
        <v>310004</v>
      </c>
      <c r="G302" t="s">
        <v>121</v>
      </c>
      <c r="H302">
        <v>31</v>
      </c>
      <c r="I302" t="s">
        <v>26</v>
      </c>
      <c r="J302">
        <v>30</v>
      </c>
      <c r="K302" s="4">
        <v>22.5</v>
      </c>
      <c r="L302" s="4">
        <v>675</v>
      </c>
    </row>
    <row r="303" spans="2:12" ht="12.75">
      <c r="B303" t="str">
        <f t="shared" si="17"/>
        <v>9190</v>
      </c>
      <c r="C303" t="s">
        <v>159</v>
      </c>
      <c r="D303">
        <v>420202</v>
      </c>
      <c r="E303" t="s">
        <v>19</v>
      </c>
      <c r="F303">
        <v>310004</v>
      </c>
      <c r="G303" t="s">
        <v>121</v>
      </c>
      <c r="H303">
        <v>31</v>
      </c>
      <c r="I303" t="s">
        <v>26</v>
      </c>
      <c r="J303">
        <v>1</v>
      </c>
      <c r="K303" s="4">
        <v>120</v>
      </c>
      <c r="L303" s="4">
        <v>120</v>
      </c>
    </row>
    <row r="304" spans="2:12" ht="12.75">
      <c r="B304" t="str">
        <f aca="true" t="shared" si="18" ref="B304:B312">"9417"</f>
        <v>9417</v>
      </c>
      <c r="C304" t="s">
        <v>160</v>
      </c>
      <c r="D304">
        <v>420202</v>
      </c>
      <c r="E304" t="s">
        <v>19</v>
      </c>
      <c r="F304">
        <v>10002</v>
      </c>
      <c r="G304" t="s">
        <v>20</v>
      </c>
      <c r="H304">
        <v>1</v>
      </c>
      <c r="I304" t="s">
        <v>21</v>
      </c>
      <c r="J304">
        <v>30</v>
      </c>
      <c r="K304" s="4">
        <v>552.5</v>
      </c>
      <c r="L304" s="4">
        <v>16575</v>
      </c>
    </row>
    <row r="305" spans="2:12" ht="12.75">
      <c r="B305" t="str">
        <f t="shared" si="18"/>
        <v>9417</v>
      </c>
      <c r="C305" t="s">
        <v>160</v>
      </c>
      <c r="D305">
        <v>420202</v>
      </c>
      <c r="E305" t="s">
        <v>19</v>
      </c>
      <c r="F305">
        <v>20001</v>
      </c>
      <c r="G305" t="s">
        <v>29</v>
      </c>
      <c r="H305">
        <v>2</v>
      </c>
      <c r="I305" t="s">
        <v>30</v>
      </c>
      <c r="J305">
        <v>5</v>
      </c>
      <c r="K305" s="4">
        <v>2125</v>
      </c>
      <c r="L305" s="4">
        <v>10625</v>
      </c>
    </row>
    <row r="306" spans="2:12" ht="12.75">
      <c r="B306" t="str">
        <f t="shared" si="18"/>
        <v>9417</v>
      </c>
      <c r="C306" t="s">
        <v>160</v>
      </c>
      <c r="D306">
        <v>420202</v>
      </c>
      <c r="E306" t="s">
        <v>19</v>
      </c>
      <c r="F306">
        <v>40001</v>
      </c>
      <c r="G306" t="s">
        <v>59</v>
      </c>
      <c r="H306">
        <v>4</v>
      </c>
      <c r="I306" t="s">
        <v>23</v>
      </c>
      <c r="J306">
        <v>30</v>
      </c>
      <c r="K306" s="4">
        <v>170</v>
      </c>
      <c r="L306" s="4">
        <v>5100</v>
      </c>
    </row>
    <row r="307" spans="2:12" ht="12.75">
      <c r="B307" t="str">
        <f t="shared" si="18"/>
        <v>9417</v>
      </c>
      <c r="C307" t="s">
        <v>160</v>
      </c>
      <c r="D307">
        <v>420202</v>
      </c>
      <c r="E307" t="s">
        <v>19</v>
      </c>
      <c r="F307">
        <v>60002</v>
      </c>
      <c r="G307" t="s">
        <v>31</v>
      </c>
      <c r="H307">
        <v>6</v>
      </c>
      <c r="I307" t="s">
        <v>32</v>
      </c>
      <c r="J307">
        <v>2</v>
      </c>
      <c r="K307" s="4">
        <v>1105</v>
      </c>
      <c r="L307" s="4">
        <v>2210</v>
      </c>
    </row>
    <row r="308" spans="2:12" ht="12.75">
      <c r="B308" t="str">
        <f t="shared" si="18"/>
        <v>9417</v>
      </c>
      <c r="C308" t="s">
        <v>160</v>
      </c>
      <c r="D308">
        <v>420202</v>
      </c>
      <c r="E308" t="s">
        <v>19</v>
      </c>
      <c r="F308">
        <v>60003</v>
      </c>
      <c r="G308" t="s">
        <v>157</v>
      </c>
      <c r="H308">
        <v>6</v>
      </c>
      <c r="I308" t="s">
        <v>32</v>
      </c>
      <c r="J308">
        <v>20</v>
      </c>
      <c r="K308" s="4">
        <v>255</v>
      </c>
      <c r="L308" s="4">
        <v>5100</v>
      </c>
    </row>
    <row r="309" spans="2:12" ht="12.75">
      <c r="B309" t="str">
        <f t="shared" si="18"/>
        <v>9417</v>
      </c>
      <c r="C309" t="s">
        <v>160</v>
      </c>
      <c r="D309">
        <v>420202</v>
      </c>
      <c r="E309" t="s">
        <v>19</v>
      </c>
      <c r="F309">
        <v>60004</v>
      </c>
      <c r="G309" t="s">
        <v>33</v>
      </c>
      <c r="H309">
        <v>6</v>
      </c>
      <c r="I309" t="s">
        <v>32</v>
      </c>
      <c r="J309">
        <v>2</v>
      </c>
      <c r="K309" s="4">
        <v>5950</v>
      </c>
      <c r="L309" s="4">
        <v>11900</v>
      </c>
    </row>
    <row r="310" spans="2:12" ht="12.75">
      <c r="B310" t="str">
        <f t="shared" si="18"/>
        <v>9417</v>
      </c>
      <c r="C310" t="s">
        <v>160</v>
      </c>
      <c r="D310">
        <v>420202</v>
      </c>
      <c r="E310" t="s">
        <v>19</v>
      </c>
      <c r="F310">
        <v>70003</v>
      </c>
      <c r="G310" t="s">
        <v>73</v>
      </c>
      <c r="H310">
        <v>7</v>
      </c>
      <c r="I310" t="s">
        <v>74</v>
      </c>
      <c r="J310">
        <v>1</v>
      </c>
      <c r="K310" s="4">
        <v>1700</v>
      </c>
      <c r="L310" s="4">
        <v>1700</v>
      </c>
    </row>
    <row r="311" spans="2:12" ht="12.75">
      <c r="B311" t="str">
        <f t="shared" si="18"/>
        <v>9417</v>
      </c>
      <c r="C311" t="s">
        <v>160</v>
      </c>
      <c r="D311">
        <v>420202</v>
      </c>
      <c r="E311" t="s">
        <v>19</v>
      </c>
      <c r="F311">
        <v>310004</v>
      </c>
      <c r="G311" t="s">
        <v>121</v>
      </c>
      <c r="H311">
        <v>31</v>
      </c>
      <c r="I311" t="s">
        <v>26</v>
      </c>
      <c r="J311">
        <v>1</v>
      </c>
      <c r="K311" s="4">
        <v>680</v>
      </c>
      <c r="L311" s="4">
        <v>680</v>
      </c>
    </row>
    <row r="312" spans="2:12" ht="12.75">
      <c r="B312" t="str">
        <f t="shared" si="18"/>
        <v>9417</v>
      </c>
      <c r="C312" t="s">
        <v>160</v>
      </c>
      <c r="D312">
        <v>420202</v>
      </c>
      <c r="E312" t="s">
        <v>19</v>
      </c>
      <c r="F312">
        <v>310004</v>
      </c>
      <c r="G312" t="s">
        <v>121</v>
      </c>
      <c r="H312">
        <v>31</v>
      </c>
      <c r="I312" t="s">
        <v>26</v>
      </c>
      <c r="J312">
        <v>30</v>
      </c>
      <c r="K312" s="4">
        <v>127.5</v>
      </c>
      <c r="L312" s="4">
        <v>3825</v>
      </c>
    </row>
    <row r="313" spans="2:12" ht="12.75">
      <c r="B313" t="str">
        <f aca="true" t="shared" si="19" ref="B313:B321">"9430"</f>
        <v>9430</v>
      </c>
      <c r="C313" t="s">
        <v>161</v>
      </c>
      <c r="D313">
        <v>420202</v>
      </c>
      <c r="E313" t="s">
        <v>19</v>
      </c>
      <c r="F313">
        <v>10002</v>
      </c>
      <c r="G313" t="s">
        <v>20</v>
      </c>
      <c r="H313">
        <v>1</v>
      </c>
      <c r="I313" t="s">
        <v>21</v>
      </c>
      <c r="J313">
        <v>30</v>
      </c>
      <c r="K313" s="4">
        <v>97.5</v>
      </c>
      <c r="L313" s="4">
        <v>2925</v>
      </c>
    </row>
    <row r="314" spans="2:12" ht="12.75">
      <c r="B314" t="str">
        <f t="shared" si="19"/>
        <v>9430</v>
      </c>
      <c r="C314" t="s">
        <v>161</v>
      </c>
      <c r="D314">
        <v>420202</v>
      </c>
      <c r="E314" t="s">
        <v>19</v>
      </c>
      <c r="F314">
        <v>20001</v>
      </c>
      <c r="G314" t="s">
        <v>29</v>
      </c>
      <c r="H314">
        <v>2</v>
      </c>
      <c r="I314" t="s">
        <v>30</v>
      </c>
      <c r="J314">
        <v>5</v>
      </c>
      <c r="K314" s="4">
        <v>375</v>
      </c>
      <c r="L314" s="4">
        <v>1875</v>
      </c>
    </row>
    <row r="315" spans="2:12" ht="12.75">
      <c r="B315" t="str">
        <f t="shared" si="19"/>
        <v>9430</v>
      </c>
      <c r="C315" t="s">
        <v>161</v>
      </c>
      <c r="D315">
        <v>420202</v>
      </c>
      <c r="E315" t="s">
        <v>19</v>
      </c>
      <c r="F315">
        <v>40001</v>
      </c>
      <c r="G315" t="s">
        <v>59</v>
      </c>
      <c r="H315">
        <v>4</v>
      </c>
      <c r="I315" t="s">
        <v>23</v>
      </c>
      <c r="J315">
        <v>30</v>
      </c>
      <c r="K315" s="4">
        <v>30</v>
      </c>
      <c r="L315" s="4">
        <v>900</v>
      </c>
    </row>
    <row r="316" spans="2:12" ht="12.75">
      <c r="B316" t="str">
        <f t="shared" si="19"/>
        <v>9430</v>
      </c>
      <c r="C316" t="s">
        <v>161</v>
      </c>
      <c r="D316">
        <v>420202</v>
      </c>
      <c r="E316" t="s">
        <v>19</v>
      </c>
      <c r="F316">
        <v>60002</v>
      </c>
      <c r="G316" t="s">
        <v>31</v>
      </c>
      <c r="H316">
        <v>6</v>
      </c>
      <c r="I316" t="s">
        <v>32</v>
      </c>
      <c r="J316">
        <v>2</v>
      </c>
      <c r="K316" s="4">
        <v>195</v>
      </c>
      <c r="L316" s="4">
        <v>390</v>
      </c>
    </row>
    <row r="317" spans="2:12" ht="12.75">
      <c r="B317" t="str">
        <f t="shared" si="19"/>
        <v>9430</v>
      </c>
      <c r="C317" t="s">
        <v>161</v>
      </c>
      <c r="D317">
        <v>420202</v>
      </c>
      <c r="E317" t="s">
        <v>19</v>
      </c>
      <c r="F317">
        <v>60003</v>
      </c>
      <c r="G317" t="s">
        <v>157</v>
      </c>
      <c r="H317">
        <v>6</v>
      </c>
      <c r="I317" t="s">
        <v>32</v>
      </c>
      <c r="J317">
        <v>20</v>
      </c>
      <c r="K317" s="4">
        <v>45</v>
      </c>
      <c r="L317" s="4">
        <v>900</v>
      </c>
    </row>
    <row r="318" spans="2:12" ht="12.75">
      <c r="B318" t="str">
        <f t="shared" si="19"/>
        <v>9430</v>
      </c>
      <c r="C318" t="s">
        <v>161</v>
      </c>
      <c r="D318">
        <v>420202</v>
      </c>
      <c r="E318" t="s">
        <v>19</v>
      </c>
      <c r="F318">
        <v>60004</v>
      </c>
      <c r="G318" t="s">
        <v>33</v>
      </c>
      <c r="H318">
        <v>6</v>
      </c>
      <c r="I318" t="s">
        <v>32</v>
      </c>
      <c r="J318">
        <v>2</v>
      </c>
      <c r="K318" s="4">
        <v>1050</v>
      </c>
      <c r="L318" s="4">
        <v>2100</v>
      </c>
    </row>
    <row r="319" spans="2:12" ht="12.75">
      <c r="B319" t="str">
        <f t="shared" si="19"/>
        <v>9430</v>
      </c>
      <c r="C319" t="s">
        <v>161</v>
      </c>
      <c r="D319">
        <v>420202</v>
      </c>
      <c r="E319" t="s">
        <v>19</v>
      </c>
      <c r="F319">
        <v>70003</v>
      </c>
      <c r="G319" t="s">
        <v>73</v>
      </c>
      <c r="H319">
        <v>7</v>
      </c>
      <c r="I319" t="s">
        <v>74</v>
      </c>
      <c r="J319">
        <v>1</v>
      </c>
      <c r="K319" s="4">
        <v>300</v>
      </c>
      <c r="L319" s="4">
        <v>300</v>
      </c>
    </row>
    <row r="320" spans="2:12" ht="12.75">
      <c r="B320" t="str">
        <f t="shared" si="19"/>
        <v>9430</v>
      </c>
      <c r="C320" t="s">
        <v>161</v>
      </c>
      <c r="D320">
        <v>420202</v>
      </c>
      <c r="E320" t="s">
        <v>19</v>
      </c>
      <c r="F320">
        <v>310004</v>
      </c>
      <c r="G320" t="s">
        <v>121</v>
      </c>
      <c r="H320">
        <v>31</v>
      </c>
      <c r="I320" t="s">
        <v>26</v>
      </c>
      <c r="J320">
        <v>1</v>
      </c>
      <c r="K320" s="4">
        <v>120</v>
      </c>
      <c r="L320" s="4">
        <v>120</v>
      </c>
    </row>
    <row r="321" spans="2:12" ht="12.75">
      <c r="B321" t="str">
        <f t="shared" si="19"/>
        <v>9430</v>
      </c>
      <c r="C321" t="s">
        <v>161</v>
      </c>
      <c r="D321">
        <v>420202</v>
      </c>
      <c r="E321" t="s">
        <v>19</v>
      </c>
      <c r="F321">
        <v>310004</v>
      </c>
      <c r="G321" t="s">
        <v>121</v>
      </c>
      <c r="H321">
        <v>31</v>
      </c>
      <c r="I321" t="s">
        <v>26</v>
      </c>
      <c r="J321">
        <v>30</v>
      </c>
      <c r="K321" s="4">
        <v>22.5</v>
      </c>
      <c r="L321" s="4">
        <v>675</v>
      </c>
    </row>
    <row r="322" spans="1:2" ht="12.75">
      <c r="A322" t="s">
        <v>47</v>
      </c>
      <c r="B322">
        <f>SUM(L266:L321)</f>
        <v>536686</v>
      </c>
    </row>
    <row r="324" ht="12.75">
      <c r="A324" t="str">
        <f>"1537 - Urad Vlade RS za Slovence v zamejstvu in po svetu, verzija: 1"</f>
        <v>1537 - Urad Vlade RS za Slovence v zamejstvu in po svetu, verzija: 1</v>
      </c>
    </row>
    <row r="325" spans="2:13" ht="12.75">
      <c r="B325" t="s">
        <v>3</v>
      </c>
      <c r="D325" t="s">
        <v>4</v>
      </c>
      <c r="F325" t="s">
        <v>5</v>
      </c>
      <c r="H325" t="s">
        <v>6</v>
      </c>
      <c r="J325" t="s">
        <v>7</v>
      </c>
      <c r="K325" s="4" t="s">
        <v>8</v>
      </c>
      <c r="L325" s="4" t="s">
        <v>9</v>
      </c>
      <c r="M325" t="s">
        <v>10</v>
      </c>
    </row>
    <row r="326" spans="2:12" ht="12.75">
      <c r="B326" t="str">
        <f>"6443"</f>
        <v>6443</v>
      </c>
      <c r="C326" t="s">
        <v>27</v>
      </c>
      <c r="D326">
        <v>420202</v>
      </c>
      <c r="E326" t="s">
        <v>19</v>
      </c>
      <c r="F326">
        <v>10001</v>
      </c>
      <c r="G326" t="s">
        <v>48</v>
      </c>
      <c r="H326">
        <v>1</v>
      </c>
      <c r="I326" t="s">
        <v>21</v>
      </c>
      <c r="J326">
        <v>11</v>
      </c>
      <c r="K326" s="4">
        <v>570</v>
      </c>
      <c r="L326" s="4">
        <v>6270</v>
      </c>
    </row>
    <row r="327" spans="2:12" ht="12.75">
      <c r="B327" t="str">
        <f>"6443"</f>
        <v>6443</v>
      </c>
      <c r="C327" t="s">
        <v>27</v>
      </c>
      <c r="D327">
        <v>420202</v>
      </c>
      <c r="E327" t="s">
        <v>19</v>
      </c>
      <c r="F327">
        <v>20002</v>
      </c>
      <c r="G327" t="s">
        <v>58</v>
      </c>
      <c r="H327">
        <v>2</v>
      </c>
      <c r="I327" t="s">
        <v>30</v>
      </c>
      <c r="J327">
        <v>1</v>
      </c>
      <c r="K327" s="4">
        <v>1553.34</v>
      </c>
      <c r="L327" s="4">
        <v>1553.34</v>
      </c>
    </row>
    <row r="328" spans="2:12" ht="12.75">
      <c r="B328" t="str">
        <f>"6443"</f>
        <v>6443</v>
      </c>
      <c r="C328" t="s">
        <v>27</v>
      </c>
      <c r="D328">
        <v>420202</v>
      </c>
      <c r="E328" t="s">
        <v>19</v>
      </c>
      <c r="F328">
        <v>40001</v>
      </c>
      <c r="G328" t="s">
        <v>59</v>
      </c>
      <c r="H328">
        <v>4</v>
      </c>
      <c r="I328" t="s">
        <v>23</v>
      </c>
      <c r="J328">
        <v>11</v>
      </c>
      <c r="K328" s="4">
        <v>188.34</v>
      </c>
      <c r="L328" s="4">
        <v>2071.74</v>
      </c>
    </row>
    <row r="329" spans="2:12" ht="12.75">
      <c r="B329" t="str">
        <f>"6443"</f>
        <v>6443</v>
      </c>
      <c r="C329" t="s">
        <v>27</v>
      </c>
      <c r="D329">
        <v>420301</v>
      </c>
      <c r="E329" t="s">
        <v>162</v>
      </c>
      <c r="F329">
        <v>60002</v>
      </c>
      <c r="G329" t="s">
        <v>31</v>
      </c>
      <c r="H329">
        <v>6</v>
      </c>
      <c r="I329" t="s">
        <v>32</v>
      </c>
      <c r="J329">
        <v>2</v>
      </c>
      <c r="K329" s="4">
        <v>300</v>
      </c>
      <c r="L329" s="4">
        <v>600</v>
      </c>
    </row>
    <row r="330" spans="1:2" ht="12.75">
      <c r="A330" t="s">
        <v>47</v>
      </c>
      <c r="B330">
        <f>SUM(L326:L329)</f>
        <v>10495.08</v>
      </c>
    </row>
    <row r="332" ht="12.75">
      <c r="A332" t="str">
        <f>"1611 - Ministrstvo za finance, verzija: 2"</f>
        <v>1611 - Ministrstvo za finance, verzija: 2</v>
      </c>
    </row>
    <row r="333" spans="2:13" ht="12.75">
      <c r="B333" t="s">
        <v>3</v>
      </c>
      <c r="D333" t="s">
        <v>4</v>
      </c>
      <c r="F333" t="s">
        <v>5</v>
      </c>
      <c r="H333" t="s">
        <v>6</v>
      </c>
      <c r="J333" t="s">
        <v>7</v>
      </c>
      <c r="K333" s="4" t="s">
        <v>8</v>
      </c>
      <c r="L333" s="4" t="s">
        <v>9</v>
      </c>
      <c r="M333" t="s">
        <v>10</v>
      </c>
    </row>
    <row r="334" spans="2:12" ht="12.75">
      <c r="B334" t="str">
        <f aca="true" t="shared" si="20" ref="B334:B350">"2847"</f>
        <v>2847</v>
      </c>
      <c r="C334" t="s">
        <v>27</v>
      </c>
      <c r="D334">
        <v>420202</v>
      </c>
      <c r="E334" t="s">
        <v>19</v>
      </c>
      <c r="F334">
        <v>10002</v>
      </c>
      <c r="G334" t="s">
        <v>20</v>
      </c>
      <c r="H334">
        <v>1</v>
      </c>
      <c r="I334" t="s">
        <v>21</v>
      </c>
      <c r="J334">
        <v>250</v>
      </c>
      <c r="K334" s="4">
        <v>700</v>
      </c>
      <c r="L334" s="4">
        <v>175000</v>
      </c>
    </row>
    <row r="335" spans="2:12" ht="12.75">
      <c r="B335" t="str">
        <f t="shared" si="20"/>
        <v>2847</v>
      </c>
      <c r="C335" t="s">
        <v>27</v>
      </c>
      <c r="D335">
        <v>420202</v>
      </c>
      <c r="E335" t="s">
        <v>19</v>
      </c>
      <c r="F335">
        <v>10003</v>
      </c>
      <c r="G335" t="s">
        <v>28</v>
      </c>
      <c r="H335">
        <v>1</v>
      </c>
      <c r="I335" t="s">
        <v>21</v>
      </c>
      <c r="J335">
        <v>40</v>
      </c>
      <c r="K335" s="4">
        <v>940</v>
      </c>
      <c r="L335" s="4">
        <v>37600</v>
      </c>
    </row>
    <row r="336" spans="2:12" ht="12.75">
      <c r="B336" t="str">
        <f t="shared" si="20"/>
        <v>2847</v>
      </c>
      <c r="C336" t="s">
        <v>27</v>
      </c>
      <c r="D336">
        <v>420202</v>
      </c>
      <c r="E336" t="s">
        <v>19</v>
      </c>
      <c r="F336">
        <v>20001</v>
      </c>
      <c r="G336" t="s">
        <v>29</v>
      </c>
      <c r="H336">
        <v>2</v>
      </c>
      <c r="I336" t="s">
        <v>30</v>
      </c>
      <c r="J336">
        <v>25</v>
      </c>
      <c r="K336" s="4">
        <v>1100</v>
      </c>
      <c r="L336" s="4">
        <v>27500</v>
      </c>
    </row>
    <row r="337" spans="2:12" ht="12.75">
      <c r="B337" t="str">
        <f t="shared" si="20"/>
        <v>2847</v>
      </c>
      <c r="C337" t="s">
        <v>27</v>
      </c>
      <c r="D337">
        <v>420202</v>
      </c>
      <c r="E337" t="s">
        <v>19</v>
      </c>
      <c r="F337">
        <v>20002</v>
      </c>
      <c r="G337" t="s">
        <v>58</v>
      </c>
      <c r="H337">
        <v>2</v>
      </c>
      <c r="I337" t="s">
        <v>30</v>
      </c>
      <c r="J337">
        <v>15</v>
      </c>
      <c r="K337" s="4">
        <v>1950</v>
      </c>
      <c r="L337" s="4">
        <v>29250</v>
      </c>
    </row>
    <row r="338" spans="2:12" ht="12.75">
      <c r="B338" t="str">
        <f t="shared" si="20"/>
        <v>2847</v>
      </c>
      <c r="C338" t="s">
        <v>27</v>
      </c>
      <c r="D338">
        <v>420202</v>
      </c>
      <c r="E338" t="s">
        <v>19</v>
      </c>
      <c r="F338">
        <v>30003</v>
      </c>
      <c r="G338" t="s">
        <v>163</v>
      </c>
      <c r="H338">
        <v>3</v>
      </c>
      <c r="I338" t="s">
        <v>78</v>
      </c>
      <c r="J338">
        <v>1</v>
      </c>
      <c r="K338" s="4">
        <v>650</v>
      </c>
      <c r="L338" s="4">
        <v>650</v>
      </c>
    </row>
    <row r="339" spans="2:12" ht="12.75">
      <c r="B339" t="str">
        <f t="shared" si="20"/>
        <v>2847</v>
      </c>
      <c r="C339" t="s">
        <v>27</v>
      </c>
      <c r="D339">
        <v>420202</v>
      </c>
      <c r="E339" t="s">
        <v>19</v>
      </c>
      <c r="F339">
        <v>40002</v>
      </c>
      <c r="G339" t="s">
        <v>22</v>
      </c>
      <c r="H339">
        <v>4</v>
      </c>
      <c r="I339" t="s">
        <v>23</v>
      </c>
      <c r="J339">
        <v>250</v>
      </c>
      <c r="K339" s="4">
        <v>400</v>
      </c>
      <c r="L339" s="4">
        <v>100000</v>
      </c>
    </row>
    <row r="340" spans="2:12" ht="12.75">
      <c r="B340" t="str">
        <f t="shared" si="20"/>
        <v>2847</v>
      </c>
      <c r="C340" t="s">
        <v>27</v>
      </c>
      <c r="D340">
        <v>420202</v>
      </c>
      <c r="E340" t="s">
        <v>19</v>
      </c>
      <c r="F340">
        <v>40004</v>
      </c>
      <c r="G340" t="s">
        <v>164</v>
      </c>
      <c r="H340">
        <v>4</v>
      </c>
      <c r="I340" t="s">
        <v>23</v>
      </c>
      <c r="J340">
        <v>40</v>
      </c>
      <c r="K340" s="4">
        <v>750</v>
      </c>
      <c r="L340" s="4">
        <v>30000</v>
      </c>
    </row>
    <row r="341" spans="2:12" ht="12.75">
      <c r="B341" t="str">
        <f t="shared" si="20"/>
        <v>2847</v>
      </c>
      <c r="C341" t="s">
        <v>27</v>
      </c>
      <c r="D341">
        <v>420222</v>
      </c>
      <c r="E341" t="s">
        <v>60</v>
      </c>
      <c r="F341">
        <v>190009</v>
      </c>
      <c r="G341" t="s">
        <v>144</v>
      </c>
      <c r="H341">
        <v>19</v>
      </c>
      <c r="I341" t="s">
        <v>62</v>
      </c>
      <c r="J341">
        <v>4</v>
      </c>
      <c r="K341" s="4">
        <v>35000</v>
      </c>
      <c r="L341" s="4">
        <v>140000</v>
      </c>
    </row>
    <row r="342" spans="2:12" ht="12.75">
      <c r="B342" t="str">
        <f t="shared" si="20"/>
        <v>2847</v>
      </c>
      <c r="C342" t="s">
        <v>27</v>
      </c>
      <c r="D342">
        <v>420222</v>
      </c>
      <c r="E342" t="s">
        <v>60</v>
      </c>
      <c r="F342">
        <v>190010</v>
      </c>
      <c r="G342" t="s">
        <v>165</v>
      </c>
      <c r="H342">
        <v>19</v>
      </c>
      <c r="I342" t="s">
        <v>62</v>
      </c>
      <c r="J342">
        <v>3</v>
      </c>
      <c r="K342" s="4">
        <v>11000</v>
      </c>
      <c r="L342" s="4">
        <v>33000</v>
      </c>
    </row>
    <row r="343" spans="2:12" ht="12.75">
      <c r="B343" t="str">
        <f t="shared" si="20"/>
        <v>2847</v>
      </c>
      <c r="C343" t="s">
        <v>27</v>
      </c>
      <c r="D343">
        <v>420222</v>
      </c>
      <c r="E343" t="s">
        <v>60</v>
      </c>
      <c r="F343">
        <v>240002</v>
      </c>
      <c r="G343" t="s">
        <v>166</v>
      </c>
      <c r="H343">
        <v>24</v>
      </c>
      <c r="I343" t="s">
        <v>118</v>
      </c>
      <c r="J343">
        <v>1</v>
      </c>
      <c r="K343" s="4">
        <v>13000</v>
      </c>
      <c r="L343" s="4">
        <v>13000</v>
      </c>
    </row>
    <row r="344" spans="2:13" ht="12.75">
      <c r="B344" t="str">
        <f t="shared" si="20"/>
        <v>2847</v>
      </c>
      <c r="C344" t="s">
        <v>27</v>
      </c>
      <c r="D344">
        <v>420238</v>
      </c>
      <c r="E344" t="s">
        <v>34</v>
      </c>
      <c r="F344">
        <v>300001</v>
      </c>
      <c r="G344" t="s">
        <v>25</v>
      </c>
      <c r="H344">
        <v>30</v>
      </c>
      <c r="I344" t="s">
        <v>94</v>
      </c>
      <c r="J344">
        <v>1</v>
      </c>
      <c r="K344" s="4">
        <v>15000</v>
      </c>
      <c r="L344" s="4">
        <v>15000</v>
      </c>
      <c r="M344" t="s">
        <v>167</v>
      </c>
    </row>
    <row r="345" spans="2:12" ht="12.75">
      <c r="B345" t="str">
        <f t="shared" si="20"/>
        <v>2847</v>
      </c>
      <c r="C345" t="s">
        <v>27</v>
      </c>
      <c r="D345">
        <v>420248</v>
      </c>
      <c r="E345" t="s">
        <v>36</v>
      </c>
      <c r="F345">
        <v>120001</v>
      </c>
      <c r="G345" t="s">
        <v>114</v>
      </c>
      <c r="H345">
        <v>12</v>
      </c>
      <c r="I345" t="s">
        <v>38</v>
      </c>
      <c r="J345">
        <v>11</v>
      </c>
      <c r="K345" s="4">
        <v>4000</v>
      </c>
      <c r="L345" s="4">
        <v>44000</v>
      </c>
    </row>
    <row r="346" spans="2:12" ht="12.75">
      <c r="B346" t="str">
        <f t="shared" si="20"/>
        <v>2847</v>
      </c>
      <c r="C346" t="s">
        <v>27</v>
      </c>
      <c r="D346">
        <v>420248</v>
      </c>
      <c r="E346" t="s">
        <v>36</v>
      </c>
      <c r="F346">
        <v>120007</v>
      </c>
      <c r="G346" t="s">
        <v>25</v>
      </c>
      <c r="H346">
        <v>12</v>
      </c>
      <c r="I346" t="s">
        <v>38</v>
      </c>
      <c r="J346">
        <v>1</v>
      </c>
      <c r="K346" s="4">
        <v>41000</v>
      </c>
      <c r="L346" s="4">
        <v>41000</v>
      </c>
    </row>
    <row r="347" spans="2:13" ht="12.75">
      <c r="B347" t="str">
        <f t="shared" si="20"/>
        <v>2847</v>
      </c>
      <c r="C347" t="s">
        <v>27</v>
      </c>
      <c r="D347">
        <v>420249</v>
      </c>
      <c r="E347" t="s">
        <v>39</v>
      </c>
      <c r="F347">
        <v>120003</v>
      </c>
      <c r="G347" t="s">
        <v>37</v>
      </c>
      <c r="H347">
        <v>12</v>
      </c>
      <c r="I347" t="s">
        <v>38</v>
      </c>
      <c r="J347">
        <v>1</v>
      </c>
      <c r="K347" s="4">
        <v>56000</v>
      </c>
      <c r="L347" s="4">
        <v>56000</v>
      </c>
      <c r="M347" t="s">
        <v>168</v>
      </c>
    </row>
    <row r="348" spans="2:12" ht="12.75">
      <c r="B348" t="str">
        <f t="shared" si="20"/>
        <v>2847</v>
      </c>
      <c r="C348" t="s">
        <v>27</v>
      </c>
      <c r="D348">
        <v>420249</v>
      </c>
      <c r="E348" t="s">
        <v>39</v>
      </c>
      <c r="F348">
        <v>120007</v>
      </c>
      <c r="G348" t="s">
        <v>25</v>
      </c>
      <c r="H348">
        <v>12</v>
      </c>
      <c r="I348" t="s">
        <v>38</v>
      </c>
      <c r="J348">
        <v>1</v>
      </c>
      <c r="K348" s="4">
        <v>8000</v>
      </c>
      <c r="L348" s="4">
        <v>8000</v>
      </c>
    </row>
    <row r="349" spans="2:12" ht="12.75">
      <c r="B349" t="str">
        <f t="shared" si="20"/>
        <v>2847</v>
      </c>
      <c r="C349" t="s">
        <v>27</v>
      </c>
      <c r="D349">
        <v>420703</v>
      </c>
      <c r="E349" t="s">
        <v>51</v>
      </c>
      <c r="F349">
        <v>310002</v>
      </c>
      <c r="G349" t="s">
        <v>86</v>
      </c>
      <c r="H349">
        <v>31</v>
      </c>
      <c r="I349" t="s">
        <v>26</v>
      </c>
      <c r="J349">
        <v>1</v>
      </c>
      <c r="K349" s="4">
        <v>186000</v>
      </c>
      <c r="L349" s="4">
        <v>186000</v>
      </c>
    </row>
    <row r="350" spans="2:13" ht="12.75">
      <c r="B350" t="str">
        <f t="shared" si="20"/>
        <v>2847</v>
      </c>
      <c r="C350" t="s">
        <v>27</v>
      </c>
      <c r="D350">
        <v>420704</v>
      </c>
      <c r="E350" t="s">
        <v>24</v>
      </c>
      <c r="F350">
        <v>310002</v>
      </c>
      <c r="G350" t="s">
        <v>86</v>
      </c>
      <c r="H350">
        <v>31</v>
      </c>
      <c r="I350" t="s">
        <v>26</v>
      </c>
      <c r="J350">
        <v>1</v>
      </c>
      <c r="K350" s="4">
        <v>1416341</v>
      </c>
      <c r="L350" s="4">
        <v>1416341</v>
      </c>
      <c r="M350" t="s">
        <v>169</v>
      </c>
    </row>
    <row r="351" spans="2:12" ht="12.75">
      <c r="B351" t="str">
        <f aca="true" t="shared" si="21" ref="B351:B367">"4600"</f>
        <v>4600</v>
      </c>
      <c r="C351" t="s">
        <v>170</v>
      </c>
      <c r="D351">
        <v>402007</v>
      </c>
      <c r="E351" t="s">
        <v>41</v>
      </c>
      <c r="F351">
        <v>310003</v>
      </c>
      <c r="G351" t="s">
        <v>125</v>
      </c>
      <c r="H351">
        <v>31</v>
      </c>
      <c r="I351" t="s">
        <v>26</v>
      </c>
      <c r="J351">
        <v>1</v>
      </c>
      <c r="K351" s="4">
        <v>276372</v>
      </c>
      <c r="L351" s="4">
        <v>276372</v>
      </c>
    </row>
    <row r="352" spans="2:12" ht="12.75">
      <c r="B352" t="str">
        <f t="shared" si="21"/>
        <v>4600</v>
      </c>
      <c r="C352" t="s">
        <v>170</v>
      </c>
      <c r="D352">
        <v>402007</v>
      </c>
      <c r="E352" t="s">
        <v>41</v>
      </c>
      <c r="F352">
        <v>410001</v>
      </c>
      <c r="G352" t="s">
        <v>13</v>
      </c>
      <c r="H352">
        <v>41</v>
      </c>
      <c r="I352" t="s">
        <v>14</v>
      </c>
      <c r="J352">
        <v>1</v>
      </c>
      <c r="K352" s="4">
        <v>268000</v>
      </c>
      <c r="L352" s="4">
        <v>268000</v>
      </c>
    </row>
    <row r="353" spans="2:12" ht="12.75">
      <c r="B353" t="str">
        <f t="shared" si="21"/>
        <v>4600</v>
      </c>
      <c r="C353" t="s">
        <v>170</v>
      </c>
      <c r="D353">
        <v>402007</v>
      </c>
      <c r="E353" t="s">
        <v>41</v>
      </c>
      <c r="F353">
        <v>420002</v>
      </c>
      <c r="G353" t="s">
        <v>126</v>
      </c>
      <c r="H353">
        <v>42</v>
      </c>
      <c r="I353" t="s">
        <v>101</v>
      </c>
      <c r="J353">
        <v>1</v>
      </c>
      <c r="K353" s="4">
        <v>200000</v>
      </c>
      <c r="L353" s="4">
        <v>200000</v>
      </c>
    </row>
    <row r="354" spans="2:12" ht="12.75">
      <c r="B354" t="str">
        <f t="shared" si="21"/>
        <v>4600</v>
      </c>
      <c r="C354" t="s">
        <v>170</v>
      </c>
      <c r="D354">
        <v>402011</v>
      </c>
      <c r="E354" t="s">
        <v>54</v>
      </c>
      <c r="F354">
        <v>320004</v>
      </c>
      <c r="G354" t="s">
        <v>171</v>
      </c>
      <c r="H354">
        <v>32</v>
      </c>
      <c r="I354" t="s">
        <v>172</v>
      </c>
      <c r="J354">
        <v>1</v>
      </c>
      <c r="K354" s="4">
        <v>245696</v>
      </c>
      <c r="L354" s="4">
        <v>245696</v>
      </c>
    </row>
    <row r="355" spans="2:12" ht="12.75">
      <c r="B355" t="str">
        <f t="shared" si="21"/>
        <v>4600</v>
      </c>
      <c r="C355" t="s">
        <v>170</v>
      </c>
      <c r="D355">
        <v>402011</v>
      </c>
      <c r="E355" t="s">
        <v>54</v>
      </c>
      <c r="F355">
        <v>350005</v>
      </c>
      <c r="G355" t="s">
        <v>96</v>
      </c>
      <c r="H355">
        <v>35</v>
      </c>
      <c r="I355" t="s">
        <v>17</v>
      </c>
      <c r="J355">
        <v>1</v>
      </c>
      <c r="K355" s="4">
        <v>180000</v>
      </c>
      <c r="L355" s="4">
        <v>180000</v>
      </c>
    </row>
    <row r="356" spans="2:12" ht="12.75">
      <c r="B356" t="str">
        <f t="shared" si="21"/>
        <v>4600</v>
      </c>
      <c r="C356" t="s">
        <v>170</v>
      </c>
      <c r="D356">
        <v>402510</v>
      </c>
      <c r="E356" t="s">
        <v>12</v>
      </c>
      <c r="F356">
        <v>350003</v>
      </c>
      <c r="G356" t="s">
        <v>44</v>
      </c>
      <c r="H356">
        <v>35</v>
      </c>
      <c r="I356" t="s">
        <v>17</v>
      </c>
      <c r="J356">
        <v>1</v>
      </c>
      <c r="K356" s="4">
        <v>80000</v>
      </c>
      <c r="L356" s="4">
        <v>80000</v>
      </c>
    </row>
    <row r="357" spans="2:12" ht="12.75">
      <c r="B357" t="str">
        <f t="shared" si="21"/>
        <v>4600</v>
      </c>
      <c r="C357" t="s">
        <v>170</v>
      </c>
      <c r="D357">
        <v>402510</v>
      </c>
      <c r="E357" t="s">
        <v>12</v>
      </c>
      <c r="F357">
        <v>350010</v>
      </c>
      <c r="G357" t="s">
        <v>173</v>
      </c>
      <c r="H357">
        <v>35</v>
      </c>
      <c r="I357" t="s">
        <v>17</v>
      </c>
      <c r="J357">
        <v>1</v>
      </c>
      <c r="K357" s="4">
        <v>10000</v>
      </c>
      <c r="L357" s="4">
        <v>10000</v>
      </c>
    </row>
    <row r="358" spans="2:13" ht="12.75">
      <c r="B358" t="str">
        <f t="shared" si="21"/>
        <v>4600</v>
      </c>
      <c r="C358" t="s">
        <v>170</v>
      </c>
      <c r="D358">
        <v>402513</v>
      </c>
      <c r="E358" t="s">
        <v>85</v>
      </c>
      <c r="F358">
        <v>310003</v>
      </c>
      <c r="G358" t="s">
        <v>125</v>
      </c>
      <c r="H358">
        <v>31</v>
      </c>
      <c r="I358" t="s">
        <v>26</v>
      </c>
      <c r="J358">
        <v>1</v>
      </c>
      <c r="K358" s="4">
        <v>1013088</v>
      </c>
      <c r="L358" s="4">
        <v>1013088</v>
      </c>
      <c r="M358" t="s">
        <v>174</v>
      </c>
    </row>
    <row r="359" spans="2:12" ht="12.75">
      <c r="B359" t="str">
        <f t="shared" si="21"/>
        <v>4600</v>
      </c>
      <c r="C359" t="s">
        <v>170</v>
      </c>
      <c r="D359">
        <v>402514</v>
      </c>
      <c r="E359" t="s">
        <v>45</v>
      </c>
      <c r="F359">
        <v>310001</v>
      </c>
      <c r="G359" t="s">
        <v>175</v>
      </c>
      <c r="H359">
        <v>31</v>
      </c>
      <c r="I359" t="s">
        <v>26</v>
      </c>
      <c r="J359">
        <v>1</v>
      </c>
      <c r="K359" s="4">
        <v>50000</v>
      </c>
      <c r="L359" s="4">
        <v>50000</v>
      </c>
    </row>
    <row r="360" spans="2:12" ht="12.75">
      <c r="B360" t="str">
        <f t="shared" si="21"/>
        <v>4600</v>
      </c>
      <c r="C360" t="s">
        <v>170</v>
      </c>
      <c r="D360">
        <v>402514</v>
      </c>
      <c r="E360" t="s">
        <v>45</v>
      </c>
      <c r="F360">
        <v>310004</v>
      </c>
      <c r="G360" t="s">
        <v>121</v>
      </c>
      <c r="H360">
        <v>31</v>
      </c>
      <c r="I360" t="s">
        <v>26</v>
      </c>
      <c r="J360">
        <v>1</v>
      </c>
      <c r="K360" s="4">
        <v>130000</v>
      </c>
      <c r="L360" s="4">
        <v>130000</v>
      </c>
    </row>
    <row r="361" spans="2:12" ht="12.75">
      <c r="B361" t="str">
        <f t="shared" si="21"/>
        <v>4600</v>
      </c>
      <c r="C361" t="s">
        <v>170</v>
      </c>
      <c r="D361">
        <v>402514</v>
      </c>
      <c r="E361" t="s">
        <v>45</v>
      </c>
      <c r="F361">
        <v>310005</v>
      </c>
      <c r="G361" t="s">
        <v>46</v>
      </c>
      <c r="H361">
        <v>31</v>
      </c>
      <c r="I361" t="s">
        <v>26</v>
      </c>
      <c r="J361">
        <v>1</v>
      </c>
      <c r="K361" s="4">
        <v>396000</v>
      </c>
      <c r="L361" s="4">
        <v>396000</v>
      </c>
    </row>
    <row r="362" spans="2:13" ht="12.75">
      <c r="B362" t="str">
        <f t="shared" si="21"/>
        <v>4600</v>
      </c>
      <c r="C362" t="s">
        <v>170</v>
      </c>
      <c r="D362">
        <v>402515</v>
      </c>
      <c r="E362" t="s">
        <v>15</v>
      </c>
      <c r="F362">
        <v>400001</v>
      </c>
      <c r="G362" t="s">
        <v>21</v>
      </c>
      <c r="H362">
        <v>40</v>
      </c>
      <c r="I362" t="s">
        <v>50</v>
      </c>
      <c r="J362">
        <v>1</v>
      </c>
      <c r="K362" s="4">
        <v>6000</v>
      </c>
      <c r="L362" s="4">
        <v>6000</v>
      </c>
      <c r="M362" t="s">
        <v>176</v>
      </c>
    </row>
    <row r="363" spans="2:12" ht="12.75">
      <c r="B363" t="str">
        <f t="shared" si="21"/>
        <v>4600</v>
      </c>
      <c r="C363" t="s">
        <v>170</v>
      </c>
      <c r="D363">
        <v>402515</v>
      </c>
      <c r="E363" t="s">
        <v>15</v>
      </c>
      <c r="F363">
        <v>400012</v>
      </c>
      <c r="G363" t="s">
        <v>90</v>
      </c>
      <c r="H363">
        <v>40</v>
      </c>
      <c r="I363" t="s">
        <v>50</v>
      </c>
      <c r="J363">
        <v>1</v>
      </c>
      <c r="K363" s="4">
        <v>28000</v>
      </c>
      <c r="L363" s="4">
        <v>28000</v>
      </c>
    </row>
    <row r="364" spans="2:13" ht="12.75">
      <c r="B364" t="str">
        <f t="shared" si="21"/>
        <v>4600</v>
      </c>
      <c r="C364" t="s">
        <v>170</v>
      </c>
      <c r="D364">
        <v>402607</v>
      </c>
      <c r="E364" t="s">
        <v>91</v>
      </c>
      <c r="F364">
        <v>310009</v>
      </c>
      <c r="G364" t="s">
        <v>25</v>
      </c>
      <c r="H364">
        <v>31</v>
      </c>
      <c r="I364" t="s">
        <v>26</v>
      </c>
      <c r="J364">
        <v>1</v>
      </c>
      <c r="K364" s="4">
        <v>200000</v>
      </c>
      <c r="L364" s="4">
        <v>200000</v>
      </c>
      <c r="M364" t="s">
        <v>177</v>
      </c>
    </row>
    <row r="365" spans="2:13" ht="12.75">
      <c r="B365" t="str">
        <f t="shared" si="21"/>
        <v>4600</v>
      </c>
      <c r="C365" t="s">
        <v>170</v>
      </c>
      <c r="D365">
        <v>402608</v>
      </c>
      <c r="E365" t="s">
        <v>178</v>
      </c>
      <c r="F365">
        <v>420004</v>
      </c>
      <c r="G365" t="s">
        <v>25</v>
      </c>
      <c r="H365">
        <v>42</v>
      </c>
      <c r="I365" t="s">
        <v>101</v>
      </c>
      <c r="J365">
        <v>1</v>
      </c>
      <c r="K365" s="4">
        <v>75000</v>
      </c>
      <c r="L365" s="4">
        <v>75000</v>
      </c>
      <c r="M365" t="s">
        <v>179</v>
      </c>
    </row>
    <row r="366" spans="2:12" ht="12.75">
      <c r="B366" t="str">
        <f t="shared" si="21"/>
        <v>4600</v>
      </c>
      <c r="C366" t="s">
        <v>170</v>
      </c>
      <c r="D366">
        <v>402941</v>
      </c>
      <c r="E366" t="s">
        <v>98</v>
      </c>
      <c r="F366">
        <v>370001</v>
      </c>
      <c r="G366" t="s">
        <v>133</v>
      </c>
      <c r="H366">
        <v>37</v>
      </c>
      <c r="I366" t="s">
        <v>134</v>
      </c>
      <c r="J366">
        <v>1</v>
      </c>
      <c r="K366" s="4">
        <v>45000</v>
      </c>
      <c r="L366" s="4">
        <v>45000</v>
      </c>
    </row>
    <row r="367" spans="2:12" ht="12.75">
      <c r="B367" t="str">
        <f t="shared" si="21"/>
        <v>4600</v>
      </c>
      <c r="C367" t="s">
        <v>170</v>
      </c>
      <c r="D367">
        <v>402941</v>
      </c>
      <c r="E367" t="s">
        <v>98</v>
      </c>
      <c r="F367">
        <v>370003</v>
      </c>
      <c r="G367" t="s">
        <v>180</v>
      </c>
      <c r="H367">
        <v>37</v>
      </c>
      <c r="I367" t="s">
        <v>134</v>
      </c>
      <c r="J367">
        <v>1</v>
      </c>
      <c r="K367" s="4">
        <v>40000</v>
      </c>
      <c r="L367" s="4">
        <v>40000</v>
      </c>
    </row>
    <row r="368" spans="1:2" ht="12.75">
      <c r="A368" t="s">
        <v>47</v>
      </c>
      <c r="B368">
        <f>SUM(L334:L367)</f>
        <v>5595497</v>
      </c>
    </row>
    <row r="370" ht="12.75">
      <c r="A370" t="str">
        <f>"1612 - Davčna uprava RS, verzija: 5"</f>
        <v>1612 - Davčna uprava RS, verzija: 5</v>
      </c>
    </row>
    <row r="371" spans="2:13" ht="12.75">
      <c r="B371" t="s">
        <v>3</v>
      </c>
      <c r="D371" t="s">
        <v>4</v>
      </c>
      <c r="F371" t="s">
        <v>5</v>
      </c>
      <c r="H371" t="s">
        <v>6</v>
      </c>
      <c r="J371" t="s">
        <v>7</v>
      </c>
      <c r="K371" s="4" t="s">
        <v>8</v>
      </c>
      <c r="L371" s="4" t="s">
        <v>9</v>
      </c>
      <c r="M371" t="s">
        <v>10</v>
      </c>
    </row>
    <row r="372" spans="2:13" ht="12.75">
      <c r="B372" t="str">
        <f>"2848"</f>
        <v>2848</v>
      </c>
      <c r="C372" t="s">
        <v>27</v>
      </c>
      <c r="D372">
        <v>420202</v>
      </c>
      <c r="E372" t="s">
        <v>19</v>
      </c>
      <c r="F372">
        <v>10002</v>
      </c>
      <c r="G372" t="s">
        <v>20</v>
      </c>
      <c r="H372">
        <v>1</v>
      </c>
      <c r="I372" t="s">
        <v>21</v>
      </c>
      <c r="J372">
        <v>1</v>
      </c>
      <c r="K372" s="4">
        <v>1705668</v>
      </c>
      <c r="L372" s="4">
        <v>1705668</v>
      </c>
      <c r="M372" t="s">
        <v>181</v>
      </c>
    </row>
    <row r="373" spans="2:13" ht="12.75">
      <c r="B373" t="str">
        <f>"2848"</f>
        <v>2848</v>
      </c>
      <c r="C373" t="s">
        <v>27</v>
      </c>
      <c r="D373">
        <v>420222</v>
      </c>
      <c r="E373" t="s">
        <v>60</v>
      </c>
      <c r="F373">
        <v>400012</v>
      </c>
      <c r="G373" t="s">
        <v>90</v>
      </c>
      <c r="H373">
        <v>40</v>
      </c>
      <c r="I373" t="s">
        <v>50</v>
      </c>
      <c r="J373">
        <v>1</v>
      </c>
      <c r="K373" s="4">
        <v>1110000</v>
      </c>
      <c r="L373" s="4">
        <v>1110000</v>
      </c>
      <c r="M373" t="s">
        <v>182</v>
      </c>
    </row>
    <row r="374" spans="2:12" ht="12.75">
      <c r="B374" t="str">
        <f>"2848"</f>
        <v>2848</v>
      </c>
      <c r="C374" t="s">
        <v>27</v>
      </c>
      <c r="D374">
        <v>420703</v>
      </c>
      <c r="E374" t="s">
        <v>51</v>
      </c>
      <c r="F374">
        <v>310008</v>
      </c>
      <c r="G374" t="s">
        <v>148</v>
      </c>
      <c r="H374">
        <v>31</v>
      </c>
      <c r="I374" t="s">
        <v>26</v>
      </c>
      <c r="J374">
        <v>1</v>
      </c>
      <c r="K374" s="4">
        <v>6365950</v>
      </c>
      <c r="L374" s="4">
        <v>6365950</v>
      </c>
    </row>
    <row r="375" spans="2:13" ht="12.75">
      <c r="B375" t="str">
        <f>"2848"</f>
        <v>2848</v>
      </c>
      <c r="C375" t="s">
        <v>27</v>
      </c>
      <c r="D375">
        <v>420806</v>
      </c>
      <c r="E375" t="s">
        <v>122</v>
      </c>
      <c r="F375">
        <v>360008</v>
      </c>
      <c r="G375" t="s">
        <v>183</v>
      </c>
      <c r="H375">
        <v>36</v>
      </c>
      <c r="I375" t="s">
        <v>124</v>
      </c>
      <c r="J375">
        <v>1</v>
      </c>
      <c r="K375" s="4">
        <v>33383</v>
      </c>
      <c r="L375" s="4">
        <v>33383</v>
      </c>
      <c r="M375" t="s">
        <v>184</v>
      </c>
    </row>
    <row r="376" spans="2:13" ht="12.75">
      <c r="B376" t="str">
        <f aca="true" t="shared" si="22" ref="B376:B381">"3354"</f>
        <v>3354</v>
      </c>
      <c r="C376" t="s">
        <v>40</v>
      </c>
      <c r="D376">
        <v>402007</v>
      </c>
      <c r="E376" t="s">
        <v>41</v>
      </c>
      <c r="F376">
        <v>420001</v>
      </c>
      <c r="G376" t="s">
        <v>185</v>
      </c>
      <c r="H376">
        <v>42</v>
      </c>
      <c r="I376" t="s">
        <v>101</v>
      </c>
      <c r="J376">
        <v>1</v>
      </c>
      <c r="K376" s="4">
        <v>2566423</v>
      </c>
      <c r="L376" s="4">
        <v>2566423</v>
      </c>
      <c r="M376" t="s">
        <v>186</v>
      </c>
    </row>
    <row r="377" spans="2:13" ht="12.75">
      <c r="B377" t="str">
        <f t="shared" si="22"/>
        <v>3354</v>
      </c>
      <c r="C377" t="s">
        <v>40</v>
      </c>
      <c r="D377">
        <v>402011</v>
      </c>
      <c r="E377" t="s">
        <v>54</v>
      </c>
      <c r="F377">
        <v>390003</v>
      </c>
      <c r="G377" t="s">
        <v>154</v>
      </c>
      <c r="H377">
        <v>39</v>
      </c>
      <c r="I377" t="s">
        <v>141</v>
      </c>
      <c r="J377">
        <v>1</v>
      </c>
      <c r="K377" s="4">
        <v>232181</v>
      </c>
      <c r="L377" s="4">
        <v>232181</v>
      </c>
      <c r="M377" t="s">
        <v>187</v>
      </c>
    </row>
    <row r="378" spans="2:13" ht="12.75">
      <c r="B378" t="str">
        <f t="shared" si="22"/>
        <v>3354</v>
      </c>
      <c r="C378" t="s">
        <v>40</v>
      </c>
      <c r="D378">
        <v>402510</v>
      </c>
      <c r="E378" t="s">
        <v>12</v>
      </c>
      <c r="F378">
        <v>350004</v>
      </c>
      <c r="G378" t="s">
        <v>188</v>
      </c>
      <c r="H378">
        <v>35</v>
      </c>
      <c r="I378" t="s">
        <v>17</v>
      </c>
      <c r="J378">
        <v>1</v>
      </c>
      <c r="K378" s="4">
        <v>721238</v>
      </c>
      <c r="L378" s="4">
        <v>721238</v>
      </c>
      <c r="M378" t="s">
        <v>189</v>
      </c>
    </row>
    <row r="379" spans="2:13" ht="12.75">
      <c r="B379" t="str">
        <f t="shared" si="22"/>
        <v>3354</v>
      </c>
      <c r="C379" t="s">
        <v>40</v>
      </c>
      <c r="D379">
        <v>402514</v>
      </c>
      <c r="E379" t="s">
        <v>45</v>
      </c>
      <c r="F379">
        <v>410005</v>
      </c>
      <c r="G379" t="s">
        <v>190</v>
      </c>
      <c r="H379">
        <v>41</v>
      </c>
      <c r="I379" t="s">
        <v>14</v>
      </c>
      <c r="J379">
        <v>1</v>
      </c>
      <c r="K379" s="4">
        <v>592593</v>
      </c>
      <c r="L379" s="4">
        <v>592593</v>
      </c>
      <c r="M379" t="s">
        <v>191</v>
      </c>
    </row>
    <row r="380" spans="2:13" ht="12.75">
      <c r="B380" t="str">
        <f t="shared" si="22"/>
        <v>3354</v>
      </c>
      <c r="C380" t="s">
        <v>40</v>
      </c>
      <c r="D380">
        <v>402515</v>
      </c>
      <c r="E380" t="s">
        <v>15</v>
      </c>
      <c r="F380">
        <v>350005</v>
      </c>
      <c r="G380" t="s">
        <v>96</v>
      </c>
      <c r="H380">
        <v>35</v>
      </c>
      <c r="I380" t="s">
        <v>17</v>
      </c>
      <c r="J380">
        <v>1</v>
      </c>
      <c r="K380" s="4">
        <v>431018</v>
      </c>
      <c r="L380" s="4">
        <v>431018</v>
      </c>
      <c r="M380" t="s">
        <v>50</v>
      </c>
    </row>
    <row r="381" spans="2:13" ht="12.75">
      <c r="B381" t="str">
        <f t="shared" si="22"/>
        <v>3354</v>
      </c>
      <c r="C381" t="s">
        <v>40</v>
      </c>
      <c r="D381">
        <v>402941</v>
      </c>
      <c r="E381" t="s">
        <v>98</v>
      </c>
      <c r="F381">
        <v>440001</v>
      </c>
      <c r="G381" t="s">
        <v>192</v>
      </c>
      <c r="H381">
        <v>44</v>
      </c>
      <c r="I381" t="s">
        <v>99</v>
      </c>
      <c r="J381">
        <v>1</v>
      </c>
      <c r="K381" s="4">
        <v>210000</v>
      </c>
      <c r="L381" s="4">
        <v>210000</v>
      </c>
      <c r="M381" t="s">
        <v>193</v>
      </c>
    </row>
    <row r="382" spans="1:2" ht="12.75">
      <c r="A382" t="s">
        <v>47</v>
      </c>
      <c r="B382">
        <f>SUM(L372:L381)</f>
        <v>13968454</v>
      </c>
    </row>
    <row r="384" ht="12.75">
      <c r="A384" t="str">
        <f>"1613 - Carinska uprava RS, verzija: 1"</f>
        <v>1613 - Carinska uprava RS, verzija: 1</v>
      </c>
    </row>
    <row r="385" spans="2:13" ht="12.75">
      <c r="B385" t="s">
        <v>3</v>
      </c>
      <c r="D385" t="s">
        <v>4</v>
      </c>
      <c r="F385" t="s">
        <v>5</v>
      </c>
      <c r="H385" t="s">
        <v>6</v>
      </c>
      <c r="J385" t="s">
        <v>7</v>
      </c>
      <c r="K385" s="4" t="s">
        <v>8</v>
      </c>
      <c r="L385" s="4" t="s">
        <v>9</v>
      </c>
      <c r="M385" t="s">
        <v>10</v>
      </c>
    </row>
    <row r="386" spans="2:12" ht="12.75">
      <c r="B386" t="str">
        <f aca="true" t="shared" si="23" ref="B386:B399">"2849"</f>
        <v>2849</v>
      </c>
      <c r="C386" t="s">
        <v>27</v>
      </c>
      <c r="D386">
        <v>402514</v>
      </c>
      <c r="E386" t="s">
        <v>45</v>
      </c>
      <c r="F386">
        <v>310007</v>
      </c>
      <c r="G386" t="s">
        <v>82</v>
      </c>
      <c r="H386">
        <v>31</v>
      </c>
      <c r="I386" t="s">
        <v>26</v>
      </c>
      <c r="J386">
        <v>1</v>
      </c>
      <c r="K386" s="4">
        <v>270000</v>
      </c>
      <c r="L386" s="4">
        <v>270000</v>
      </c>
    </row>
    <row r="387" spans="2:12" ht="12.75">
      <c r="B387" t="str">
        <f t="shared" si="23"/>
        <v>2849</v>
      </c>
      <c r="C387" t="s">
        <v>27</v>
      </c>
      <c r="D387">
        <v>420202</v>
      </c>
      <c r="E387" t="s">
        <v>19</v>
      </c>
      <c r="F387">
        <v>10002</v>
      </c>
      <c r="G387" t="s">
        <v>20</v>
      </c>
      <c r="H387">
        <v>1</v>
      </c>
      <c r="I387" t="s">
        <v>21</v>
      </c>
      <c r="J387">
        <v>387</v>
      </c>
      <c r="K387" s="4">
        <v>600</v>
      </c>
      <c r="L387" s="4">
        <v>232200</v>
      </c>
    </row>
    <row r="388" spans="2:12" ht="12.75">
      <c r="B388" t="str">
        <f t="shared" si="23"/>
        <v>2849</v>
      </c>
      <c r="C388" t="s">
        <v>27</v>
      </c>
      <c r="D388">
        <v>420202</v>
      </c>
      <c r="E388" t="s">
        <v>19</v>
      </c>
      <c r="F388">
        <v>20001</v>
      </c>
      <c r="G388" t="s">
        <v>29</v>
      </c>
      <c r="H388">
        <v>2</v>
      </c>
      <c r="I388" t="s">
        <v>30</v>
      </c>
      <c r="J388">
        <v>50</v>
      </c>
      <c r="K388" s="4">
        <v>1300</v>
      </c>
      <c r="L388" s="4">
        <v>65000</v>
      </c>
    </row>
    <row r="389" spans="2:12" ht="12.75">
      <c r="B389" t="str">
        <f t="shared" si="23"/>
        <v>2849</v>
      </c>
      <c r="C389" t="s">
        <v>27</v>
      </c>
      <c r="D389">
        <v>420202</v>
      </c>
      <c r="E389" t="s">
        <v>19</v>
      </c>
      <c r="F389">
        <v>60002</v>
      </c>
      <c r="G389" t="s">
        <v>31</v>
      </c>
      <c r="H389">
        <v>6</v>
      </c>
      <c r="I389" t="s">
        <v>32</v>
      </c>
      <c r="J389">
        <v>70</v>
      </c>
      <c r="K389" s="4">
        <v>1250</v>
      </c>
      <c r="L389" s="4">
        <v>87500</v>
      </c>
    </row>
    <row r="390" spans="2:12" ht="12.75">
      <c r="B390" t="str">
        <f t="shared" si="23"/>
        <v>2849</v>
      </c>
      <c r="C390" t="s">
        <v>27</v>
      </c>
      <c r="D390">
        <v>420202</v>
      </c>
      <c r="E390" t="s">
        <v>19</v>
      </c>
      <c r="F390">
        <v>60005</v>
      </c>
      <c r="G390" t="s">
        <v>25</v>
      </c>
      <c r="H390">
        <v>6</v>
      </c>
      <c r="I390" t="s">
        <v>32</v>
      </c>
      <c r="J390">
        <v>20</v>
      </c>
      <c r="K390" s="4">
        <v>340</v>
      </c>
      <c r="L390" s="4">
        <v>6800</v>
      </c>
    </row>
    <row r="391" spans="2:12" ht="12.75">
      <c r="B391" t="str">
        <f t="shared" si="23"/>
        <v>2849</v>
      </c>
      <c r="C391" t="s">
        <v>27</v>
      </c>
      <c r="D391">
        <v>420248</v>
      </c>
      <c r="E391" t="s">
        <v>36</v>
      </c>
      <c r="F391">
        <v>120003</v>
      </c>
      <c r="G391" t="s">
        <v>37</v>
      </c>
      <c r="H391">
        <v>12</v>
      </c>
      <c r="I391" t="s">
        <v>38</v>
      </c>
      <c r="J391">
        <v>6</v>
      </c>
      <c r="K391" s="4">
        <v>7000</v>
      </c>
      <c r="L391" s="4">
        <v>42000</v>
      </c>
    </row>
    <row r="392" spans="2:12" ht="12.75">
      <c r="B392" t="str">
        <f t="shared" si="23"/>
        <v>2849</v>
      </c>
      <c r="C392" t="s">
        <v>27</v>
      </c>
      <c r="D392">
        <v>420703</v>
      </c>
      <c r="E392" t="s">
        <v>51</v>
      </c>
      <c r="F392">
        <v>310001</v>
      </c>
      <c r="G392" t="s">
        <v>175</v>
      </c>
      <c r="H392">
        <v>31</v>
      </c>
      <c r="I392" t="s">
        <v>26</v>
      </c>
      <c r="J392">
        <v>1</v>
      </c>
      <c r="K392" s="4">
        <v>42000</v>
      </c>
      <c r="L392" s="4">
        <v>42000</v>
      </c>
    </row>
    <row r="393" spans="2:13" ht="25.5">
      <c r="B393" t="str">
        <f t="shared" si="23"/>
        <v>2849</v>
      </c>
      <c r="C393" t="s">
        <v>27</v>
      </c>
      <c r="D393">
        <v>420703</v>
      </c>
      <c r="E393" t="s">
        <v>51</v>
      </c>
      <c r="F393">
        <v>310007</v>
      </c>
      <c r="G393" t="s">
        <v>82</v>
      </c>
      <c r="H393">
        <v>31</v>
      </c>
      <c r="I393" t="s">
        <v>26</v>
      </c>
      <c r="J393">
        <v>1</v>
      </c>
      <c r="K393" s="4">
        <v>63000</v>
      </c>
      <c r="L393" s="4">
        <v>63000</v>
      </c>
      <c r="M393" s="1" t="s">
        <v>194</v>
      </c>
    </row>
    <row r="394" spans="2:12" ht="12.75">
      <c r="B394" t="str">
        <f t="shared" si="23"/>
        <v>2849</v>
      </c>
      <c r="C394" t="s">
        <v>27</v>
      </c>
      <c r="D394">
        <v>420704</v>
      </c>
      <c r="E394" t="s">
        <v>24</v>
      </c>
      <c r="F394">
        <v>230003</v>
      </c>
      <c r="G394" t="s">
        <v>25</v>
      </c>
      <c r="H394">
        <v>23</v>
      </c>
      <c r="I394" t="s">
        <v>143</v>
      </c>
      <c r="J394">
        <v>4</v>
      </c>
      <c r="K394" s="4">
        <v>55000</v>
      </c>
      <c r="L394" s="4">
        <v>220000</v>
      </c>
    </row>
    <row r="395" spans="2:12" ht="12.75">
      <c r="B395" t="str">
        <f t="shared" si="23"/>
        <v>2849</v>
      </c>
      <c r="C395" t="s">
        <v>27</v>
      </c>
      <c r="D395">
        <v>420704</v>
      </c>
      <c r="E395" t="s">
        <v>24</v>
      </c>
      <c r="F395">
        <v>370001</v>
      </c>
      <c r="G395" t="s">
        <v>133</v>
      </c>
      <c r="H395">
        <v>37</v>
      </c>
      <c r="I395" t="s">
        <v>134</v>
      </c>
      <c r="J395">
        <v>1</v>
      </c>
      <c r="K395" s="4">
        <v>80000</v>
      </c>
      <c r="L395" s="4">
        <v>80000</v>
      </c>
    </row>
    <row r="396" spans="2:12" ht="12.75">
      <c r="B396" t="str">
        <f t="shared" si="23"/>
        <v>2849</v>
      </c>
      <c r="C396" t="s">
        <v>27</v>
      </c>
      <c r="D396">
        <v>420704</v>
      </c>
      <c r="E396" t="s">
        <v>24</v>
      </c>
      <c r="F396">
        <v>370001</v>
      </c>
      <c r="G396" t="s">
        <v>133</v>
      </c>
      <c r="H396">
        <v>37</v>
      </c>
      <c r="I396" t="s">
        <v>134</v>
      </c>
      <c r="J396">
        <v>1</v>
      </c>
      <c r="K396" s="4">
        <v>1271500</v>
      </c>
      <c r="L396" s="4">
        <v>1271500</v>
      </c>
    </row>
    <row r="397" spans="2:12" ht="12.75">
      <c r="B397" t="str">
        <f t="shared" si="23"/>
        <v>2849</v>
      </c>
      <c r="C397" t="s">
        <v>27</v>
      </c>
      <c r="D397">
        <v>420704</v>
      </c>
      <c r="E397" t="s">
        <v>24</v>
      </c>
      <c r="F397">
        <v>370001</v>
      </c>
      <c r="G397" t="s">
        <v>133</v>
      </c>
      <c r="H397">
        <v>37</v>
      </c>
      <c r="I397" t="s">
        <v>134</v>
      </c>
      <c r="J397">
        <v>1</v>
      </c>
      <c r="K397" s="4">
        <v>160000</v>
      </c>
      <c r="L397" s="4">
        <v>160000</v>
      </c>
    </row>
    <row r="398" spans="2:12" ht="12.75">
      <c r="B398" t="str">
        <f t="shared" si="23"/>
        <v>2849</v>
      </c>
      <c r="C398" t="s">
        <v>27</v>
      </c>
      <c r="D398">
        <v>420704</v>
      </c>
      <c r="E398" t="s">
        <v>24</v>
      </c>
      <c r="F398">
        <v>370001</v>
      </c>
      <c r="G398" t="s">
        <v>133</v>
      </c>
      <c r="H398">
        <v>37</v>
      </c>
      <c r="I398" t="s">
        <v>134</v>
      </c>
      <c r="J398">
        <v>1</v>
      </c>
      <c r="K398" s="4">
        <v>250360</v>
      </c>
      <c r="L398" s="4">
        <v>250360</v>
      </c>
    </row>
    <row r="399" spans="2:12" ht="12.75">
      <c r="B399" t="str">
        <f t="shared" si="23"/>
        <v>2849</v>
      </c>
      <c r="C399" t="s">
        <v>27</v>
      </c>
      <c r="D399">
        <v>420704</v>
      </c>
      <c r="E399" t="s">
        <v>24</v>
      </c>
      <c r="F399">
        <v>370001</v>
      </c>
      <c r="G399" t="s">
        <v>133</v>
      </c>
      <c r="H399">
        <v>37</v>
      </c>
      <c r="I399" t="s">
        <v>134</v>
      </c>
      <c r="J399">
        <v>1</v>
      </c>
      <c r="K399" s="4">
        <v>430000</v>
      </c>
      <c r="L399" s="4">
        <v>430000</v>
      </c>
    </row>
    <row r="400" spans="2:12" ht="12.75">
      <c r="B400" t="str">
        <f aca="true" t="shared" si="24" ref="B400:B409">"3420"</f>
        <v>3420</v>
      </c>
      <c r="C400" t="s">
        <v>40</v>
      </c>
      <c r="D400">
        <v>402513</v>
      </c>
      <c r="E400" t="s">
        <v>85</v>
      </c>
      <c r="F400">
        <v>410005</v>
      </c>
      <c r="G400" t="s">
        <v>190</v>
      </c>
      <c r="H400">
        <v>41</v>
      </c>
      <c r="I400" t="s">
        <v>14</v>
      </c>
      <c r="J400">
        <v>1</v>
      </c>
      <c r="K400" s="4">
        <v>63000</v>
      </c>
      <c r="L400" s="4">
        <v>63000</v>
      </c>
    </row>
    <row r="401" spans="2:12" ht="12.75">
      <c r="B401" t="str">
        <f t="shared" si="24"/>
        <v>3420</v>
      </c>
      <c r="C401" t="s">
        <v>40</v>
      </c>
      <c r="D401">
        <v>402513</v>
      </c>
      <c r="E401" t="s">
        <v>85</v>
      </c>
      <c r="F401">
        <v>410005</v>
      </c>
      <c r="G401" t="s">
        <v>190</v>
      </c>
      <c r="H401">
        <v>41</v>
      </c>
      <c r="I401" t="s">
        <v>14</v>
      </c>
      <c r="J401">
        <v>1</v>
      </c>
      <c r="K401" s="4">
        <v>814897.58</v>
      </c>
      <c r="L401" s="4">
        <v>814897.58</v>
      </c>
    </row>
    <row r="402" spans="2:12" ht="12.75">
      <c r="B402" t="str">
        <f t="shared" si="24"/>
        <v>3420</v>
      </c>
      <c r="C402" t="s">
        <v>40</v>
      </c>
      <c r="D402">
        <v>402513</v>
      </c>
      <c r="E402" t="s">
        <v>85</v>
      </c>
      <c r="F402">
        <v>410005</v>
      </c>
      <c r="G402" t="s">
        <v>190</v>
      </c>
      <c r="H402">
        <v>41</v>
      </c>
      <c r="I402" t="s">
        <v>14</v>
      </c>
      <c r="J402">
        <v>1</v>
      </c>
      <c r="K402" s="4">
        <v>640000</v>
      </c>
      <c r="L402" s="4">
        <v>640000</v>
      </c>
    </row>
    <row r="403" spans="2:12" ht="12.75">
      <c r="B403" t="str">
        <f t="shared" si="24"/>
        <v>3420</v>
      </c>
      <c r="C403" t="s">
        <v>40</v>
      </c>
      <c r="D403">
        <v>402513</v>
      </c>
      <c r="E403" t="s">
        <v>85</v>
      </c>
      <c r="F403">
        <v>410005</v>
      </c>
      <c r="G403" t="s">
        <v>190</v>
      </c>
      <c r="H403">
        <v>41</v>
      </c>
      <c r="I403" t="s">
        <v>14</v>
      </c>
      <c r="J403">
        <v>1</v>
      </c>
      <c r="K403" s="4">
        <v>300000</v>
      </c>
      <c r="L403" s="4">
        <v>300000</v>
      </c>
    </row>
    <row r="404" spans="2:12" ht="12.75">
      <c r="B404" t="str">
        <f t="shared" si="24"/>
        <v>3420</v>
      </c>
      <c r="C404" t="s">
        <v>40</v>
      </c>
      <c r="D404">
        <v>402514</v>
      </c>
      <c r="E404" t="s">
        <v>45</v>
      </c>
      <c r="F404">
        <v>310007</v>
      </c>
      <c r="G404" t="s">
        <v>82</v>
      </c>
      <c r="H404">
        <v>31</v>
      </c>
      <c r="I404" t="s">
        <v>26</v>
      </c>
      <c r="J404">
        <v>1</v>
      </c>
      <c r="K404" s="4">
        <v>10000</v>
      </c>
      <c r="L404" s="4">
        <v>10000</v>
      </c>
    </row>
    <row r="405" spans="2:12" ht="12.75">
      <c r="B405" t="str">
        <f t="shared" si="24"/>
        <v>3420</v>
      </c>
      <c r="C405" t="s">
        <v>40</v>
      </c>
      <c r="D405">
        <v>402514</v>
      </c>
      <c r="E405" t="s">
        <v>45</v>
      </c>
      <c r="F405">
        <v>310007</v>
      </c>
      <c r="G405" t="s">
        <v>82</v>
      </c>
      <c r="H405">
        <v>31</v>
      </c>
      <c r="I405" t="s">
        <v>26</v>
      </c>
      <c r="J405">
        <v>1</v>
      </c>
      <c r="K405" s="4">
        <v>88320</v>
      </c>
      <c r="L405" s="4">
        <v>88320</v>
      </c>
    </row>
    <row r="406" spans="2:12" ht="12.75">
      <c r="B406" t="str">
        <f t="shared" si="24"/>
        <v>3420</v>
      </c>
      <c r="C406" t="s">
        <v>40</v>
      </c>
      <c r="D406">
        <v>402515</v>
      </c>
      <c r="E406" t="s">
        <v>15</v>
      </c>
      <c r="F406">
        <v>190001</v>
      </c>
      <c r="G406" t="s">
        <v>195</v>
      </c>
      <c r="H406">
        <v>19</v>
      </c>
      <c r="I406" t="s">
        <v>62</v>
      </c>
      <c r="J406">
        <v>1</v>
      </c>
      <c r="K406" s="4">
        <v>130000</v>
      </c>
      <c r="L406" s="4">
        <v>130000</v>
      </c>
    </row>
    <row r="407" spans="2:12" ht="12.75">
      <c r="B407" t="str">
        <f t="shared" si="24"/>
        <v>3420</v>
      </c>
      <c r="C407" t="s">
        <v>40</v>
      </c>
      <c r="D407">
        <v>402515</v>
      </c>
      <c r="E407" t="s">
        <v>15</v>
      </c>
      <c r="F407">
        <v>190002</v>
      </c>
      <c r="G407" t="s">
        <v>196</v>
      </c>
      <c r="H407">
        <v>19</v>
      </c>
      <c r="I407" t="s">
        <v>62</v>
      </c>
      <c r="J407">
        <v>1</v>
      </c>
      <c r="K407" s="4">
        <v>25000</v>
      </c>
      <c r="L407" s="4">
        <v>25000</v>
      </c>
    </row>
    <row r="408" spans="2:12" ht="12.75">
      <c r="B408" t="str">
        <f t="shared" si="24"/>
        <v>3420</v>
      </c>
      <c r="C408" t="s">
        <v>40</v>
      </c>
      <c r="D408">
        <v>402515</v>
      </c>
      <c r="E408" t="s">
        <v>15</v>
      </c>
      <c r="F408">
        <v>350001</v>
      </c>
      <c r="G408" t="s">
        <v>16</v>
      </c>
      <c r="H408">
        <v>35</v>
      </c>
      <c r="I408" t="s">
        <v>17</v>
      </c>
      <c r="J408">
        <v>1</v>
      </c>
      <c r="K408" s="4">
        <v>82000</v>
      </c>
      <c r="L408" s="4">
        <v>82000</v>
      </c>
    </row>
    <row r="409" spans="2:12" ht="12.75">
      <c r="B409" t="str">
        <f t="shared" si="24"/>
        <v>3420</v>
      </c>
      <c r="C409" t="s">
        <v>40</v>
      </c>
      <c r="D409">
        <v>402515</v>
      </c>
      <c r="E409" t="s">
        <v>15</v>
      </c>
      <c r="F409">
        <v>350004</v>
      </c>
      <c r="G409" t="s">
        <v>188</v>
      </c>
      <c r="H409">
        <v>35</v>
      </c>
      <c r="I409" t="s">
        <v>17</v>
      </c>
      <c r="J409">
        <v>1</v>
      </c>
      <c r="K409" s="4">
        <v>30000</v>
      </c>
      <c r="L409" s="4">
        <v>30000</v>
      </c>
    </row>
    <row r="410" spans="1:2" ht="12.75">
      <c r="A410" t="s">
        <v>47</v>
      </c>
      <c r="B410">
        <f>SUM(L386:L409)</f>
        <v>5403577.58</v>
      </c>
    </row>
    <row r="412" ht="12.75">
      <c r="A412" t="str">
        <f>"1617 - Urad RS za nadzor prirejanja iger na srečo, verzija: 1"</f>
        <v>1617 - Urad RS za nadzor prirejanja iger na srečo, verzija: 1</v>
      </c>
    </row>
    <row r="413" spans="2:13" ht="12.75">
      <c r="B413" t="s">
        <v>3</v>
      </c>
      <c r="D413" t="s">
        <v>4</v>
      </c>
      <c r="F413" t="s">
        <v>5</v>
      </c>
      <c r="H413" t="s">
        <v>6</v>
      </c>
      <c r="J413" t="s">
        <v>7</v>
      </c>
      <c r="K413" s="4" t="s">
        <v>8</v>
      </c>
      <c r="L413" s="4" t="s">
        <v>9</v>
      </c>
      <c r="M413" t="s">
        <v>10</v>
      </c>
    </row>
    <row r="414" spans="2:13" ht="12.75">
      <c r="B414" t="str">
        <f>"2855"</f>
        <v>2855</v>
      </c>
      <c r="C414" t="s">
        <v>27</v>
      </c>
      <c r="D414">
        <v>420238</v>
      </c>
      <c r="E414" t="s">
        <v>34</v>
      </c>
      <c r="F414">
        <v>30005</v>
      </c>
      <c r="G414" t="s">
        <v>25</v>
      </c>
      <c r="H414">
        <v>3</v>
      </c>
      <c r="I414" t="s">
        <v>78</v>
      </c>
      <c r="J414">
        <v>5</v>
      </c>
      <c r="K414" s="4">
        <v>104.4</v>
      </c>
      <c r="L414" s="4">
        <v>522</v>
      </c>
      <c r="M414" t="s">
        <v>197</v>
      </c>
    </row>
    <row r="415" spans="2:12" ht="12.75">
      <c r="B415" t="str">
        <f>"2855"</f>
        <v>2855</v>
      </c>
      <c r="C415" t="s">
        <v>27</v>
      </c>
      <c r="D415">
        <v>420248</v>
      </c>
      <c r="E415" t="s">
        <v>36</v>
      </c>
      <c r="F415">
        <v>120003</v>
      </c>
      <c r="G415" t="s">
        <v>37</v>
      </c>
      <c r="H415">
        <v>12</v>
      </c>
      <c r="I415" t="s">
        <v>38</v>
      </c>
      <c r="J415">
        <v>1</v>
      </c>
      <c r="K415" s="4">
        <v>10000</v>
      </c>
      <c r="L415" s="4">
        <v>10000</v>
      </c>
    </row>
    <row r="416" spans="2:12" ht="12.75">
      <c r="B416" t="str">
        <f>"2855"</f>
        <v>2855</v>
      </c>
      <c r="C416" t="s">
        <v>27</v>
      </c>
      <c r="D416">
        <v>420249</v>
      </c>
      <c r="E416" t="s">
        <v>39</v>
      </c>
      <c r="F416">
        <v>290002</v>
      </c>
      <c r="G416" t="s">
        <v>198</v>
      </c>
      <c r="H416">
        <v>29</v>
      </c>
      <c r="I416" t="s">
        <v>142</v>
      </c>
      <c r="J416">
        <v>1</v>
      </c>
      <c r="K416" s="4">
        <v>15000</v>
      </c>
      <c r="L416" s="4">
        <v>15000</v>
      </c>
    </row>
    <row r="417" spans="2:12" ht="12.75">
      <c r="B417" t="str">
        <f>"2855"</f>
        <v>2855</v>
      </c>
      <c r="C417" t="s">
        <v>27</v>
      </c>
      <c r="D417">
        <v>420249</v>
      </c>
      <c r="E417" t="s">
        <v>39</v>
      </c>
      <c r="F417">
        <v>290004</v>
      </c>
      <c r="G417" t="s">
        <v>199</v>
      </c>
      <c r="H417">
        <v>29</v>
      </c>
      <c r="I417" t="s">
        <v>142</v>
      </c>
      <c r="J417">
        <v>1</v>
      </c>
      <c r="K417" s="4">
        <v>3000</v>
      </c>
      <c r="L417" s="4">
        <v>3000</v>
      </c>
    </row>
    <row r="418" spans="2:12" ht="12.75">
      <c r="B418" t="str">
        <f>"2855"</f>
        <v>2855</v>
      </c>
      <c r="C418" t="s">
        <v>27</v>
      </c>
      <c r="D418">
        <v>420249</v>
      </c>
      <c r="E418" t="s">
        <v>39</v>
      </c>
      <c r="F418">
        <v>290018</v>
      </c>
      <c r="G418" t="s">
        <v>25</v>
      </c>
      <c r="H418">
        <v>29</v>
      </c>
      <c r="I418" t="s">
        <v>142</v>
      </c>
      <c r="J418">
        <v>1</v>
      </c>
      <c r="K418" s="4">
        <v>2000</v>
      </c>
      <c r="L418" s="4">
        <v>2000</v>
      </c>
    </row>
    <row r="419" spans="1:2" ht="12.75">
      <c r="A419" t="s">
        <v>47</v>
      </c>
      <c r="B419">
        <f>SUM(L414:L418)</f>
        <v>30522</v>
      </c>
    </row>
    <row r="421" ht="12.75">
      <c r="A421" t="str">
        <f>"1618 - Uprava RS za javna plačila, verzija: 1"</f>
        <v>1618 - Uprava RS za javna plačila, verzija: 1</v>
      </c>
    </row>
    <row r="422" spans="2:13" ht="12.75">
      <c r="B422" t="s">
        <v>3</v>
      </c>
      <c r="D422" t="s">
        <v>4</v>
      </c>
      <c r="F422" t="s">
        <v>5</v>
      </c>
      <c r="H422" t="s">
        <v>6</v>
      </c>
      <c r="J422" t="s">
        <v>7</v>
      </c>
      <c r="K422" s="4" t="s">
        <v>8</v>
      </c>
      <c r="L422" s="4" t="s">
        <v>9</v>
      </c>
      <c r="M422" t="s">
        <v>10</v>
      </c>
    </row>
    <row r="423" spans="2:12" ht="12.75">
      <c r="B423" t="str">
        <f aca="true" t="shared" si="25" ref="B423:B431">"2448"</f>
        <v>2448</v>
      </c>
      <c r="C423" t="s">
        <v>40</v>
      </c>
      <c r="D423">
        <v>402007</v>
      </c>
      <c r="E423" t="s">
        <v>41</v>
      </c>
      <c r="F423">
        <v>320006</v>
      </c>
      <c r="G423" t="s">
        <v>25</v>
      </c>
      <c r="H423">
        <v>32</v>
      </c>
      <c r="I423" t="s">
        <v>172</v>
      </c>
      <c r="J423">
        <v>1</v>
      </c>
      <c r="K423" s="4">
        <v>16752</v>
      </c>
      <c r="L423" s="4">
        <v>16752</v>
      </c>
    </row>
    <row r="424" spans="2:12" ht="12.75">
      <c r="B424" t="str">
        <f t="shared" si="25"/>
        <v>2448</v>
      </c>
      <c r="C424" t="s">
        <v>40</v>
      </c>
      <c r="D424">
        <v>402510</v>
      </c>
      <c r="E424" t="s">
        <v>12</v>
      </c>
      <c r="F424">
        <v>350003</v>
      </c>
      <c r="G424" t="s">
        <v>44</v>
      </c>
      <c r="H424">
        <v>35</v>
      </c>
      <c r="I424" t="s">
        <v>17</v>
      </c>
      <c r="J424">
        <v>1</v>
      </c>
      <c r="K424" s="4">
        <v>1340</v>
      </c>
      <c r="L424" s="4">
        <v>1340</v>
      </c>
    </row>
    <row r="425" spans="2:12" ht="12.75">
      <c r="B425" t="str">
        <f t="shared" si="25"/>
        <v>2448</v>
      </c>
      <c r="C425" t="s">
        <v>40</v>
      </c>
      <c r="D425">
        <v>402513</v>
      </c>
      <c r="E425" t="s">
        <v>85</v>
      </c>
      <c r="F425">
        <v>410007</v>
      </c>
      <c r="G425" t="s">
        <v>25</v>
      </c>
      <c r="H425">
        <v>41</v>
      </c>
      <c r="I425" t="s">
        <v>14</v>
      </c>
      <c r="J425">
        <v>1</v>
      </c>
      <c r="K425" s="4">
        <v>1088872</v>
      </c>
      <c r="L425" s="4">
        <v>1088872</v>
      </c>
    </row>
    <row r="426" spans="2:12" ht="12.75">
      <c r="B426" t="str">
        <f t="shared" si="25"/>
        <v>2448</v>
      </c>
      <c r="C426" t="s">
        <v>40</v>
      </c>
      <c r="D426">
        <v>402514</v>
      </c>
      <c r="E426" t="s">
        <v>45</v>
      </c>
      <c r="F426">
        <v>310005</v>
      </c>
      <c r="G426" t="s">
        <v>46</v>
      </c>
      <c r="H426">
        <v>31</v>
      </c>
      <c r="I426" t="s">
        <v>26</v>
      </c>
      <c r="J426">
        <v>1</v>
      </c>
      <c r="K426" s="4">
        <v>27315</v>
      </c>
      <c r="L426" s="4">
        <v>27315</v>
      </c>
    </row>
    <row r="427" spans="2:12" ht="12.75">
      <c r="B427" t="str">
        <f t="shared" si="25"/>
        <v>2448</v>
      </c>
      <c r="C427" t="s">
        <v>40</v>
      </c>
      <c r="D427">
        <v>402515</v>
      </c>
      <c r="E427" t="s">
        <v>15</v>
      </c>
      <c r="F427">
        <v>400024</v>
      </c>
      <c r="G427" t="s">
        <v>25</v>
      </c>
      <c r="H427">
        <v>40</v>
      </c>
      <c r="I427" t="s">
        <v>50</v>
      </c>
      <c r="J427">
        <v>1</v>
      </c>
      <c r="K427" s="4">
        <v>24211</v>
      </c>
      <c r="L427" s="4">
        <v>24211</v>
      </c>
    </row>
    <row r="428" spans="2:12" ht="12.75">
      <c r="B428" t="str">
        <f t="shared" si="25"/>
        <v>2448</v>
      </c>
      <c r="C428" t="s">
        <v>40</v>
      </c>
      <c r="D428">
        <v>402516</v>
      </c>
      <c r="E428" t="s">
        <v>109</v>
      </c>
      <c r="F428">
        <v>410001</v>
      </c>
      <c r="G428" t="s">
        <v>13</v>
      </c>
      <c r="H428">
        <v>41</v>
      </c>
      <c r="I428" t="s">
        <v>14</v>
      </c>
      <c r="J428">
        <v>1</v>
      </c>
      <c r="K428" s="4">
        <v>3731</v>
      </c>
      <c r="L428" s="4">
        <v>3731</v>
      </c>
    </row>
    <row r="429" spans="2:12" ht="12.75">
      <c r="B429" t="str">
        <f t="shared" si="25"/>
        <v>2448</v>
      </c>
      <c r="C429" t="s">
        <v>40</v>
      </c>
      <c r="D429">
        <v>402607</v>
      </c>
      <c r="E429" t="s">
        <v>91</v>
      </c>
      <c r="F429">
        <v>210005</v>
      </c>
      <c r="G429" t="s">
        <v>25</v>
      </c>
      <c r="H429">
        <v>21</v>
      </c>
      <c r="I429" t="s">
        <v>200</v>
      </c>
      <c r="J429">
        <v>1</v>
      </c>
      <c r="K429" s="4">
        <v>3178</v>
      </c>
      <c r="L429" s="4">
        <v>3178</v>
      </c>
    </row>
    <row r="430" spans="2:12" ht="12.75">
      <c r="B430" t="str">
        <f t="shared" si="25"/>
        <v>2448</v>
      </c>
      <c r="C430" t="s">
        <v>40</v>
      </c>
      <c r="D430">
        <v>402608</v>
      </c>
      <c r="E430" t="s">
        <v>178</v>
      </c>
      <c r="F430">
        <v>210005</v>
      </c>
      <c r="G430" t="s">
        <v>25</v>
      </c>
      <c r="H430">
        <v>21</v>
      </c>
      <c r="I430" t="s">
        <v>200</v>
      </c>
      <c r="J430">
        <v>1</v>
      </c>
      <c r="K430" s="4">
        <v>20870</v>
      </c>
      <c r="L430" s="4">
        <v>20870</v>
      </c>
    </row>
    <row r="431" spans="2:12" ht="12.75">
      <c r="B431" t="str">
        <f t="shared" si="25"/>
        <v>2448</v>
      </c>
      <c r="C431" t="s">
        <v>40</v>
      </c>
      <c r="D431">
        <v>402941</v>
      </c>
      <c r="E431" t="s">
        <v>98</v>
      </c>
      <c r="F431">
        <v>440006</v>
      </c>
      <c r="G431" t="s">
        <v>25</v>
      </c>
      <c r="H431">
        <v>44</v>
      </c>
      <c r="I431" t="s">
        <v>99</v>
      </c>
      <c r="J431">
        <v>1</v>
      </c>
      <c r="K431" s="4">
        <v>21952</v>
      </c>
      <c r="L431" s="4">
        <v>21952</v>
      </c>
    </row>
    <row r="432" spans="2:12" ht="12.75">
      <c r="B432" t="str">
        <f aca="true" t="shared" si="26" ref="B432:B445">"2931"</f>
        <v>2931</v>
      </c>
      <c r="C432" t="s">
        <v>27</v>
      </c>
      <c r="D432">
        <v>420202</v>
      </c>
      <c r="E432" t="s">
        <v>19</v>
      </c>
      <c r="F432">
        <v>10002</v>
      </c>
      <c r="G432" t="s">
        <v>20</v>
      </c>
      <c r="H432">
        <v>1</v>
      </c>
      <c r="I432" t="s">
        <v>21</v>
      </c>
      <c r="J432">
        <v>50</v>
      </c>
      <c r="K432" s="4">
        <v>1200</v>
      </c>
      <c r="L432" s="4">
        <v>60000</v>
      </c>
    </row>
    <row r="433" spans="2:12" ht="12.75">
      <c r="B433" t="str">
        <f t="shared" si="26"/>
        <v>2931</v>
      </c>
      <c r="C433" t="s">
        <v>27</v>
      </c>
      <c r="D433">
        <v>420202</v>
      </c>
      <c r="E433" t="s">
        <v>19</v>
      </c>
      <c r="F433">
        <v>10003</v>
      </c>
      <c r="G433" t="s">
        <v>28</v>
      </c>
      <c r="H433">
        <v>1</v>
      </c>
      <c r="I433" t="s">
        <v>21</v>
      </c>
      <c r="J433">
        <v>20</v>
      </c>
      <c r="K433" s="4">
        <v>1800</v>
      </c>
      <c r="L433" s="4">
        <v>36000</v>
      </c>
    </row>
    <row r="434" spans="2:12" ht="12.75">
      <c r="B434" t="str">
        <f t="shared" si="26"/>
        <v>2931</v>
      </c>
      <c r="C434" t="s">
        <v>27</v>
      </c>
      <c r="D434">
        <v>420202</v>
      </c>
      <c r="E434" t="s">
        <v>19</v>
      </c>
      <c r="F434">
        <v>20001</v>
      </c>
      <c r="G434" t="s">
        <v>29</v>
      </c>
      <c r="H434">
        <v>2</v>
      </c>
      <c r="I434" t="s">
        <v>30</v>
      </c>
      <c r="J434">
        <v>5</v>
      </c>
      <c r="K434" s="4">
        <v>1800</v>
      </c>
      <c r="L434" s="4">
        <v>9000</v>
      </c>
    </row>
    <row r="435" spans="2:12" ht="12.75">
      <c r="B435" t="str">
        <f t="shared" si="26"/>
        <v>2931</v>
      </c>
      <c r="C435" t="s">
        <v>27</v>
      </c>
      <c r="D435">
        <v>420222</v>
      </c>
      <c r="E435" t="s">
        <v>60</v>
      </c>
      <c r="F435">
        <v>190004</v>
      </c>
      <c r="G435" t="s">
        <v>61</v>
      </c>
      <c r="H435">
        <v>19</v>
      </c>
      <c r="I435" t="s">
        <v>62</v>
      </c>
      <c r="J435">
        <v>4</v>
      </c>
      <c r="K435" s="4">
        <v>10500</v>
      </c>
      <c r="L435" s="4">
        <v>42000</v>
      </c>
    </row>
    <row r="436" spans="2:12" ht="12.75">
      <c r="B436" t="str">
        <f t="shared" si="26"/>
        <v>2931</v>
      </c>
      <c r="C436" t="s">
        <v>27</v>
      </c>
      <c r="D436">
        <v>420238</v>
      </c>
      <c r="E436" t="s">
        <v>34</v>
      </c>
      <c r="F436">
        <v>70002</v>
      </c>
      <c r="G436" t="s">
        <v>113</v>
      </c>
      <c r="H436">
        <v>7</v>
      </c>
      <c r="I436" t="s">
        <v>74</v>
      </c>
      <c r="J436">
        <v>1</v>
      </c>
      <c r="K436" s="4">
        <v>252</v>
      </c>
      <c r="L436" s="4">
        <v>252</v>
      </c>
    </row>
    <row r="437" spans="2:12" ht="12.75">
      <c r="B437" t="str">
        <f t="shared" si="26"/>
        <v>2931</v>
      </c>
      <c r="C437" t="s">
        <v>27</v>
      </c>
      <c r="D437">
        <v>420238</v>
      </c>
      <c r="E437" t="s">
        <v>34</v>
      </c>
      <c r="F437">
        <v>100016</v>
      </c>
      <c r="G437" t="s">
        <v>25</v>
      </c>
      <c r="H437">
        <v>10</v>
      </c>
      <c r="I437" t="s">
        <v>35</v>
      </c>
      <c r="J437">
        <v>4</v>
      </c>
      <c r="K437" s="4">
        <v>1050</v>
      </c>
      <c r="L437" s="4">
        <v>4200</v>
      </c>
    </row>
    <row r="438" spans="2:12" ht="12.75">
      <c r="B438" t="str">
        <f t="shared" si="26"/>
        <v>2931</v>
      </c>
      <c r="C438" t="s">
        <v>27</v>
      </c>
      <c r="D438">
        <v>420238</v>
      </c>
      <c r="E438" t="s">
        <v>34</v>
      </c>
      <c r="F438">
        <v>100016</v>
      </c>
      <c r="G438" t="s">
        <v>25</v>
      </c>
      <c r="H438">
        <v>10</v>
      </c>
      <c r="I438" t="s">
        <v>35</v>
      </c>
      <c r="J438">
        <v>40</v>
      </c>
      <c r="K438" s="4">
        <v>42.5</v>
      </c>
      <c r="L438" s="4">
        <v>1700</v>
      </c>
    </row>
    <row r="439" spans="2:12" ht="12.75">
      <c r="B439" t="str">
        <f t="shared" si="26"/>
        <v>2931</v>
      </c>
      <c r="C439" t="s">
        <v>27</v>
      </c>
      <c r="D439">
        <v>420238</v>
      </c>
      <c r="E439" t="s">
        <v>34</v>
      </c>
      <c r="F439">
        <v>160004</v>
      </c>
      <c r="G439" t="s">
        <v>201</v>
      </c>
      <c r="H439">
        <v>16</v>
      </c>
      <c r="I439" t="s">
        <v>71</v>
      </c>
      <c r="J439">
        <v>2</v>
      </c>
      <c r="K439" s="4">
        <v>8400</v>
      </c>
      <c r="L439" s="4">
        <v>16800</v>
      </c>
    </row>
    <row r="440" spans="2:12" ht="12.75">
      <c r="B440" t="str">
        <f t="shared" si="26"/>
        <v>2931</v>
      </c>
      <c r="C440" t="s">
        <v>27</v>
      </c>
      <c r="D440">
        <v>420238</v>
      </c>
      <c r="E440" t="s">
        <v>34</v>
      </c>
      <c r="F440">
        <v>290004</v>
      </c>
      <c r="G440" t="s">
        <v>199</v>
      </c>
      <c r="H440">
        <v>29</v>
      </c>
      <c r="I440" t="s">
        <v>142</v>
      </c>
      <c r="J440">
        <v>1</v>
      </c>
      <c r="K440" s="4">
        <v>4000</v>
      </c>
      <c r="L440" s="4">
        <v>4000</v>
      </c>
    </row>
    <row r="441" spans="2:12" ht="12.75">
      <c r="B441" t="str">
        <f t="shared" si="26"/>
        <v>2931</v>
      </c>
      <c r="C441" t="s">
        <v>27</v>
      </c>
      <c r="D441">
        <v>420703</v>
      </c>
      <c r="E441" t="s">
        <v>51</v>
      </c>
      <c r="F441">
        <v>310005</v>
      </c>
      <c r="G441" t="s">
        <v>46</v>
      </c>
      <c r="H441">
        <v>31</v>
      </c>
      <c r="I441" t="s">
        <v>26</v>
      </c>
      <c r="J441">
        <v>6</v>
      </c>
      <c r="K441" s="4">
        <v>2500</v>
      </c>
      <c r="L441" s="4">
        <v>15000</v>
      </c>
    </row>
    <row r="442" spans="2:12" ht="12.75">
      <c r="B442" t="str">
        <f t="shared" si="26"/>
        <v>2931</v>
      </c>
      <c r="C442" t="s">
        <v>27</v>
      </c>
      <c r="D442">
        <v>420703</v>
      </c>
      <c r="E442" t="s">
        <v>51</v>
      </c>
      <c r="F442">
        <v>310009</v>
      </c>
      <c r="G442" t="s">
        <v>25</v>
      </c>
      <c r="H442">
        <v>31</v>
      </c>
      <c r="I442" t="s">
        <v>26</v>
      </c>
      <c r="J442">
        <v>25</v>
      </c>
      <c r="K442" s="4">
        <v>400</v>
      </c>
      <c r="L442" s="4">
        <v>10000</v>
      </c>
    </row>
    <row r="443" spans="2:12" ht="12.75">
      <c r="B443" t="str">
        <f t="shared" si="26"/>
        <v>2931</v>
      </c>
      <c r="C443" t="s">
        <v>27</v>
      </c>
      <c r="D443">
        <v>420703</v>
      </c>
      <c r="E443" t="s">
        <v>51</v>
      </c>
      <c r="F443">
        <v>310009</v>
      </c>
      <c r="G443" t="s">
        <v>25</v>
      </c>
      <c r="H443">
        <v>31</v>
      </c>
      <c r="I443" t="s">
        <v>26</v>
      </c>
      <c r="J443">
        <v>40</v>
      </c>
      <c r="K443" s="4">
        <v>312.5</v>
      </c>
      <c r="L443" s="4">
        <v>12500</v>
      </c>
    </row>
    <row r="444" spans="2:12" ht="12.75">
      <c r="B444" t="str">
        <f t="shared" si="26"/>
        <v>2931</v>
      </c>
      <c r="C444" t="s">
        <v>27</v>
      </c>
      <c r="D444">
        <v>420703</v>
      </c>
      <c r="E444" t="s">
        <v>51</v>
      </c>
      <c r="F444">
        <v>450005</v>
      </c>
      <c r="G444" t="s">
        <v>42</v>
      </c>
      <c r="H444">
        <v>45</v>
      </c>
      <c r="I444" t="s">
        <v>43</v>
      </c>
      <c r="J444">
        <v>1</v>
      </c>
      <c r="K444" s="4">
        <v>4940</v>
      </c>
      <c r="L444" s="4">
        <v>4940</v>
      </c>
    </row>
    <row r="445" spans="2:12" ht="12.75">
      <c r="B445" t="str">
        <f t="shared" si="26"/>
        <v>2931</v>
      </c>
      <c r="C445" t="s">
        <v>27</v>
      </c>
      <c r="D445">
        <v>420704</v>
      </c>
      <c r="E445" t="s">
        <v>24</v>
      </c>
      <c r="F445">
        <v>450005</v>
      </c>
      <c r="G445" t="s">
        <v>42</v>
      </c>
      <c r="H445">
        <v>45</v>
      </c>
      <c r="I445" t="s">
        <v>43</v>
      </c>
      <c r="J445">
        <v>1</v>
      </c>
      <c r="K445" s="4">
        <v>335000</v>
      </c>
      <c r="L445" s="4">
        <v>335000</v>
      </c>
    </row>
    <row r="446" spans="1:2" ht="12.75">
      <c r="A446" t="s">
        <v>47</v>
      </c>
      <c r="B446">
        <f>SUM(L423:L445)</f>
        <v>1759613</v>
      </c>
    </row>
    <row r="448" ht="12.75">
      <c r="A448" t="str">
        <f>"1619 - Urad RS za nadzor proračuna, verzija: 1"</f>
        <v>1619 - Urad RS za nadzor proračuna, verzija: 1</v>
      </c>
    </row>
    <row r="449" spans="2:13" ht="12.75">
      <c r="B449" t="s">
        <v>3</v>
      </c>
      <c r="D449" t="s">
        <v>4</v>
      </c>
      <c r="F449" t="s">
        <v>5</v>
      </c>
      <c r="H449" t="s">
        <v>6</v>
      </c>
      <c r="J449" t="s">
        <v>7</v>
      </c>
      <c r="K449" s="4" t="s">
        <v>8</v>
      </c>
      <c r="L449" s="4" t="s">
        <v>9</v>
      </c>
      <c r="M449" t="s">
        <v>10</v>
      </c>
    </row>
    <row r="450" spans="2:12" ht="12.75">
      <c r="B450" t="str">
        <f>"1647"</f>
        <v>1647</v>
      </c>
      <c r="C450" t="s">
        <v>27</v>
      </c>
      <c r="D450">
        <v>420238</v>
      </c>
      <c r="E450" t="s">
        <v>34</v>
      </c>
      <c r="F450">
        <v>300001</v>
      </c>
      <c r="G450" t="s">
        <v>25</v>
      </c>
      <c r="H450">
        <v>30</v>
      </c>
      <c r="I450" t="s">
        <v>94</v>
      </c>
      <c r="J450">
        <v>1</v>
      </c>
      <c r="K450" s="4">
        <v>50</v>
      </c>
      <c r="L450" s="4">
        <v>50</v>
      </c>
    </row>
    <row r="451" spans="1:2" ht="12.75">
      <c r="A451" t="s">
        <v>47</v>
      </c>
      <c r="B451">
        <f>SUM(L450:L450)</f>
        <v>50</v>
      </c>
    </row>
    <row r="453" ht="12.75">
      <c r="A453" t="str">
        <f>"1711 - Ministrstvo za notranje zadeve, verzija: 1"</f>
        <v>1711 - Ministrstvo za notranje zadeve, verzija: 1</v>
      </c>
    </row>
    <row r="454" spans="2:13" ht="12.75">
      <c r="B454" t="s">
        <v>3</v>
      </c>
      <c r="D454" t="s">
        <v>4</v>
      </c>
      <c r="F454" t="s">
        <v>5</v>
      </c>
      <c r="H454" t="s">
        <v>6</v>
      </c>
      <c r="J454" t="s">
        <v>7</v>
      </c>
      <c r="K454" s="4" t="s">
        <v>8</v>
      </c>
      <c r="L454" s="4" t="s">
        <v>9</v>
      </c>
      <c r="M454" t="s">
        <v>10</v>
      </c>
    </row>
    <row r="455" spans="2:12" ht="12.75">
      <c r="B455" t="str">
        <f aca="true" t="shared" si="27" ref="B455:B462">"3431"</f>
        <v>3431</v>
      </c>
      <c r="C455" t="s">
        <v>40</v>
      </c>
      <c r="D455">
        <v>402007</v>
      </c>
      <c r="E455" t="s">
        <v>41</v>
      </c>
      <c r="F455">
        <v>430006</v>
      </c>
      <c r="G455" t="s">
        <v>202</v>
      </c>
      <c r="H455">
        <v>43</v>
      </c>
      <c r="I455" t="s">
        <v>56</v>
      </c>
      <c r="J455">
        <v>1</v>
      </c>
      <c r="K455" s="4">
        <v>1200</v>
      </c>
      <c r="L455" s="4">
        <v>1200</v>
      </c>
    </row>
    <row r="456" spans="2:13" ht="12.75">
      <c r="B456" t="str">
        <f t="shared" si="27"/>
        <v>3431</v>
      </c>
      <c r="C456" t="s">
        <v>40</v>
      </c>
      <c r="D456">
        <v>402513</v>
      </c>
      <c r="E456" t="s">
        <v>85</v>
      </c>
      <c r="F456">
        <v>410001</v>
      </c>
      <c r="G456" t="s">
        <v>13</v>
      </c>
      <c r="H456">
        <v>41</v>
      </c>
      <c r="I456" t="s">
        <v>14</v>
      </c>
      <c r="J456">
        <v>1</v>
      </c>
      <c r="K456" s="4">
        <v>689000</v>
      </c>
      <c r="L456" s="4">
        <v>689000</v>
      </c>
      <c r="M456" t="s">
        <v>203</v>
      </c>
    </row>
    <row r="457" spans="2:12" ht="12.75">
      <c r="B457" t="str">
        <f t="shared" si="27"/>
        <v>3431</v>
      </c>
      <c r="C457" t="s">
        <v>40</v>
      </c>
      <c r="D457">
        <v>402514</v>
      </c>
      <c r="E457" t="s">
        <v>45</v>
      </c>
      <c r="F457">
        <v>310003</v>
      </c>
      <c r="G457" t="s">
        <v>125</v>
      </c>
      <c r="H457">
        <v>31</v>
      </c>
      <c r="I457" t="s">
        <v>26</v>
      </c>
      <c r="J457">
        <v>1</v>
      </c>
      <c r="K457" s="4">
        <v>9000</v>
      </c>
      <c r="L457" s="4">
        <v>9000</v>
      </c>
    </row>
    <row r="458" spans="2:12" ht="12.75">
      <c r="B458" t="str">
        <f t="shared" si="27"/>
        <v>3431</v>
      </c>
      <c r="C458" t="s">
        <v>40</v>
      </c>
      <c r="D458">
        <v>402514</v>
      </c>
      <c r="E458" t="s">
        <v>45</v>
      </c>
      <c r="F458">
        <v>310006</v>
      </c>
      <c r="G458" t="s">
        <v>204</v>
      </c>
      <c r="H458">
        <v>31</v>
      </c>
      <c r="I458" t="s">
        <v>26</v>
      </c>
      <c r="J458">
        <v>1</v>
      </c>
      <c r="K458" s="4">
        <v>2000</v>
      </c>
      <c r="L458" s="4">
        <v>2000</v>
      </c>
    </row>
    <row r="459" spans="2:12" ht="12.75">
      <c r="B459" t="str">
        <f t="shared" si="27"/>
        <v>3431</v>
      </c>
      <c r="C459" t="s">
        <v>40</v>
      </c>
      <c r="D459">
        <v>402514</v>
      </c>
      <c r="E459" t="s">
        <v>45</v>
      </c>
      <c r="F459">
        <v>310007</v>
      </c>
      <c r="G459" t="s">
        <v>82</v>
      </c>
      <c r="H459">
        <v>31</v>
      </c>
      <c r="I459" t="s">
        <v>26</v>
      </c>
      <c r="J459">
        <v>100</v>
      </c>
      <c r="K459" s="4">
        <v>10</v>
      </c>
      <c r="L459" s="4">
        <v>1000</v>
      </c>
    </row>
    <row r="460" spans="2:12" ht="12.75">
      <c r="B460" t="str">
        <f t="shared" si="27"/>
        <v>3431</v>
      </c>
      <c r="C460" t="s">
        <v>40</v>
      </c>
      <c r="D460">
        <v>402515</v>
      </c>
      <c r="E460" t="s">
        <v>15</v>
      </c>
      <c r="F460">
        <v>400001</v>
      </c>
      <c r="G460" t="s">
        <v>21</v>
      </c>
      <c r="H460">
        <v>40</v>
      </c>
      <c r="I460" t="s">
        <v>50</v>
      </c>
      <c r="J460">
        <v>500</v>
      </c>
      <c r="K460" s="4">
        <v>180</v>
      </c>
      <c r="L460" s="4">
        <v>90000</v>
      </c>
    </row>
    <row r="461" spans="2:13" ht="12.75">
      <c r="B461" t="str">
        <f t="shared" si="27"/>
        <v>3431</v>
      </c>
      <c r="C461" t="s">
        <v>40</v>
      </c>
      <c r="D461">
        <v>402607</v>
      </c>
      <c r="E461" t="s">
        <v>91</v>
      </c>
      <c r="F461">
        <v>410005</v>
      </c>
      <c r="G461" t="s">
        <v>190</v>
      </c>
      <c r="H461">
        <v>41</v>
      </c>
      <c r="I461" t="s">
        <v>14</v>
      </c>
      <c r="J461">
        <v>1</v>
      </c>
      <c r="K461" s="4">
        <v>144000</v>
      </c>
      <c r="L461" s="4">
        <v>144000</v>
      </c>
      <c r="M461" t="s">
        <v>205</v>
      </c>
    </row>
    <row r="462" spans="2:12" ht="12.75">
      <c r="B462" t="str">
        <f t="shared" si="27"/>
        <v>3431</v>
      </c>
      <c r="C462" t="s">
        <v>40</v>
      </c>
      <c r="D462">
        <v>402941</v>
      </c>
      <c r="E462" t="s">
        <v>98</v>
      </c>
      <c r="F462">
        <v>440001</v>
      </c>
      <c r="G462" t="s">
        <v>192</v>
      </c>
      <c r="H462">
        <v>44</v>
      </c>
      <c r="I462" t="s">
        <v>99</v>
      </c>
      <c r="J462">
        <v>4</v>
      </c>
      <c r="K462" s="4">
        <v>1000</v>
      </c>
      <c r="L462" s="4">
        <v>4000</v>
      </c>
    </row>
    <row r="463" spans="2:12" ht="12.75">
      <c r="B463" t="str">
        <f aca="true" t="shared" si="28" ref="B463:B476">"7429"</f>
        <v>7429</v>
      </c>
      <c r="C463" t="s">
        <v>27</v>
      </c>
      <c r="D463">
        <v>420202</v>
      </c>
      <c r="E463" t="s">
        <v>19</v>
      </c>
      <c r="F463">
        <v>10002</v>
      </c>
      <c r="G463" t="s">
        <v>20</v>
      </c>
      <c r="H463">
        <v>1</v>
      </c>
      <c r="I463" t="s">
        <v>21</v>
      </c>
      <c r="J463">
        <v>120</v>
      </c>
      <c r="K463" s="4">
        <v>700</v>
      </c>
      <c r="L463" s="4">
        <v>84000</v>
      </c>
    </row>
    <row r="464" spans="2:12" ht="12.75">
      <c r="B464" t="str">
        <f t="shared" si="28"/>
        <v>7429</v>
      </c>
      <c r="C464" t="s">
        <v>27</v>
      </c>
      <c r="D464">
        <v>420202</v>
      </c>
      <c r="E464" t="s">
        <v>19</v>
      </c>
      <c r="F464">
        <v>20001</v>
      </c>
      <c r="G464" t="s">
        <v>29</v>
      </c>
      <c r="H464">
        <v>2</v>
      </c>
      <c r="I464" t="s">
        <v>30</v>
      </c>
      <c r="J464">
        <v>50</v>
      </c>
      <c r="K464" s="4">
        <v>1500</v>
      </c>
      <c r="L464" s="4">
        <v>75000</v>
      </c>
    </row>
    <row r="465" spans="2:12" ht="12.75">
      <c r="B465" t="str">
        <f t="shared" si="28"/>
        <v>7429</v>
      </c>
      <c r="C465" t="s">
        <v>27</v>
      </c>
      <c r="D465">
        <v>420202</v>
      </c>
      <c r="E465" t="s">
        <v>19</v>
      </c>
      <c r="F465">
        <v>20002</v>
      </c>
      <c r="G465" t="s">
        <v>58</v>
      </c>
      <c r="H465">
        <v>2</v>
      </c>
      <c r="I465" t="s">
        <v>30</v>
      </c>
      <c r="J465">
        <v>20</v>
      </c>
      <c r="K465" s="4">
        <v>2000</v>
      </c>
      <c r="L465" s="4">
        <v>40000</v>
      </c>
    </row>
    <row r="466" spans="2:12" ht="12.75">
      <c r="B466" t="str">
        <f t="shared" si="28"/>
        <v>7429</v>
      </c>
      <c r="C466" t="s">
        <v>27</v>
      </c>
      <c r="D466">
        <v>420202</v>
      </c>
      <c r="E466" t="s">
        <v>19</v>
      </c>
      <c r="F466">
        <v>40002</v>
      </c>
      <c r="G466" t="s">
        <v>22</v>
      </c>
      <c r="H466">
        <v>4</v>
      </c>
      <c r="I466" t="s">
        <v>23</v>
      </c>
      <c r="J466">
        <v>120</v>
      </c>
      <c r="K466" s="4">
        <v>300</v>
      </c>
      <c r="L466" s="4">
        <v>36000</v>
      </c>
    </row>
    <row r="467" spans="2:12" ht="12.75">
      <c r="B467" t="str">
        <f t="shared" si="28"/>
        <v>7429</v>
      </c>
      <c r="C467" t="s">
        <v>27</v>
      </c>
      <c r="D467">
        <v>420202</v>
      </c>
      <c r="E467" t="s">
        <v>19</v>
      </c>
      <c r="F467">
        <v>60002</v>
      </c>
      <c r="G467" t="s">
        <v>31</v>
      </c>
      <c r="H467">
        <v>6</v>
      </c>
      <c r="I467" t="s">
        <v>32</v>
      </c>
      <c r="J467">
        <v>50</v>
      </c>
      <c r="K467" s="4">
        <v>500</v>
      </c>
      <c r="L467" s="4">
        <v>25000</v>
      </c>
    </row>
    <row r="468" spans="2:12" ht="12.75">
      <c r="B468" t="str">
        <f t="shared" si="28"/>
        <v>7429</v>
      </c>
      <c r="C468" t="s">
        <v>27</v>
      </c>
      <c r="D468">
        <v>420202</v>
      </c>
      <c r="E468" t="s">
        <v>19</v>
      </c>
      <c r="F468">
        <v>70003</v>
      </c>
      <c r="G468" t="s">
        <v>73</v>
      </c>
      <c r="H468">
        <v>7</v>
      </c>
      <c r="I468" t="s">
        <v>74</v>
      </c>
      <c r="J468">
        <v>10</v>
      </c>
      <c r="K468" s="4">
        <v>2000</v>
      </c>
      <c r="L468" s="4">
        <v>20000</v>
      </c>
    </row>
    <row r="469" spans="2:12" ht="12.75">
      <c r="B469" t="str">
        <f t="shared" si="28"/>
        <v>7429</v>
      </c>
      <c r="C469" t="s">
        <v>27</v>
      </c>
      <c r="D469">
        <v>420222</v>
      </c>
      <c r="E469" t="s">
        <v>60</v>
      </c>
      <c r="F469">
        <v>190006</v>
      </c>
      <c r="G469" t="s">
        <v>206</v>
      </c>
      <c r="H469">
        <v>19</v>
      </c>
      <c r="I469" t="s">
        <v>62</v>
      </c>
      <c r="J469">
        <v>1</v>
      </c>
      <c r="K469" s="4">
        <v>20000</v>
      </c>
      <c r="L469" s="4">
        <v>20000</v>
      </c>
    </row>
    <row r="470" spans="2:12" ht="12.75">
      <c r="B470" t="str">
        <f t="shared" si="28"/>
        <v>7429</v>
      </c>
      <c r="C470" t="s">
        <v>27</v>
      </c>
      <c r="D470">
        <v>420248</v>
      </c>
      <c r="E470" t="s">
        <v>36</v>
      </c>
      <c r="F470">
        <v>120001</v>
      </c>
      <c r="G470" t="s">
        <v>114</v>
      </c>
      <c r="H470">
        <v>12</v>
      </c>
      <c r="I470" t="s">
        <v>38</v>
      </c>
      <c r="J470">
        <v>2</v>
      </c>
      <c r="K470" s="4">
        <v>10000</v>
      </c>
      <c r="L470" s="4">
        <v>20000</v>
      </c>
    </row>
    <row r="471" spans="2:12" ht="12.75">
      <c r="B471" t="str">
        <f t="shared" si="28"/>
        <v>7429</v>
      </c>
      <c r="C471" t="s">
        <v>27</v>
      </c>
      <c r="D471">
        <v>420249</v>
      </c>
      <c r="E471" t="s">
        <v>39</v>
      </c>
      <c r="F471">
        <v>290001</v>
      </c>
      <c r="G471" t="s">
        <v>207</v>
      </c>
      <c r="H471">
        <v>29</v>
      </c>
      <c r="I471" t="s">
        <v>142</v>
      </c>
      <c r="J471">
        <v>2</v>
      </c>
      <c r="K471" s="4">
        <v>4000</v>
      </c>
      <c r="L471" s="4">
        <v>8000</v>
      </c>
    </row>
    <row r="472" spans="2:12" ht="12.75">
      <c r="B472" t="str">
        <f t="shared" si="28"/>
        <v>7429</v>
      </c>
      <c r="C472" t="s">
        <v>27</v>
      </c>
      <c r="D472">
        <v>420703</v>
      </c>
      <c r="E472" t="s">
        <v>51</v>
      </c>
      <c r="F472">
        <v>260001</v>
      </c>
      <c r="G472" t="s">
        <v>147</v>
      </c>
      <c r="H472">
        <v>26</v>
      </c>
      <c r="I472" t="s">
        <v>69</v>
      </c>
      <c r="J472">
        <v>1</v>
      </c>
      <c r="K472" s="4">
        <v>18000</v>
      </c>
      <c r="L472" s="4">
        <v>18000</v>
      </c>
    </row>
    <row r="473" spans="2:12" ht="12.75">
      <c r="B473" t="str">
        <f t="shared" si="28"/>
        <v>7429</v>
      </c>
      <c r="C473" t="s">
        <v>27</v>
      </c>
      <c r="D473">
        <v>420703</v>
      </c>
      <c r="E473" t="s">
        <v>51</v>
      </c>
      <c r="F473">
        <v>310009</v>
      </c>
      <c r="G473" t="s">
        <v>25</v>
      </c>
      <c r="H473">
        <v>31</v>
      </c>
      <c r="I473" t="s">
        <v>26</v>
      </c>
      <c r="J473">
        <v>250</v>
      </c>
      <c r="K473" s="4">
        <v>392</v>
      </c>
      <c r="L473" s="4">
        <v>98000</v>
      </c>
    </row>
    <row r="474" spans="2:13" ht="12.75">
      <c r="B474" t="str">
        <f t="shared" si="28"/>
        <v>7429</v>
      </c>
      <c r="C474" t="s">
        <v>27</v>
      </c>
      <c r="D474">
        <v>420704</v>
      </c>
      <c r="E474" t="s">
        <v>24</v>
      </c>
      <c r="F474">
        <v>370001</v>
      </c>
      <c r="G474" t="s">
        <v>133</v>
      </c>
      <c r="H474">
        <v>37</v>
      </c>
      <c r="I474" t="s">
        <v>134</v>
      </c>
      <c r="J474">
        <v>1</v>
      </c>
      <c r="K474" s="4">
        <v>1164000</v>
      </c>
      <c r="L474" s="4">
        <v>1164000</v>
      </c>
      <c r="M474" t="s">
        <v>208</v>
      </c>
    </row>
    <row r="475" spans="2:13" ht="12.75">
      <c r="B475" t="str">
        <f t="shared" si="28"/>
        <v>7429</v>
      </c>
      <c r="C475" t="s">
        <v>27</v>
      </c>
      <c r="D475">
        <v>420704</v>
      </c>
      <c r="E475" t="s">
        <v>24</v>
      </c>
      <c r="F475">
        <v>400024</v>
      </c>
      <c r="G475" t="s">
        <v>25</v>
      </c>
      <c r="H475">
        <v>40</v>
      </c>
      <c r="I475" t="s">
        <v>50</v>
      </c>
      <c r="J475">
        <v>1</v>
      </c>
      <c r="K475" s="4">
        <v>430000</v>
      </c>
      <c r="L475" s="4">
        <v>430000</v>
      </c>
      <c r="M475" t="s">
        <v>209</v>
      </c>
    </row>
    <row r="476" spans="2:13" ht="12.75">
      <c r="B476" t="str">
        <f t="shared" si="28"/>
        <v>7429</v>
      </c>
      <c r="C476" t="s">
        <v>27</v>
      </c>
      <c r="D476">
        <v>420704</v>
      </c>
      <c r="E476" t="s">
        <v>24</v>
      </c>
      <c r="F476">
        <v>410002</v>
      </c>
      <c r="G476" t="s">
        <v>86</v>
      </c>
      <c r="H476">
        <v>41</v>
      </c>
      <c r="I476" t="s">
        <v>14</v>
      </c>
      <c r="J476">
        <v>2</v>
      </c>
      <c r="K476" s="4">
        <v>90000</v>
      </c>
      <c r="L476" s="4">
        <v>180000</v>
      </c>
      <c r="M476" t="s">
        <v>210</v>
      </c>
    </row>
    <row r="477" spans="1:2" ht="12.75">
      <c r="A477" t="s">
        <v>47</v>
      </c>
      <c r="B477">
        <f>SUM(L455:L476)</f>
        <v>3158200</v>
      </c>
    </row>
    <row r="479" ht="12.75">
      <c r="A479" t="str">
        <f>"1714 - Policija, verzija: 1"</f>
        <v>1714 - Policija, verzija: 1</v>
      </c>
    </row>
    <row r="480" spans="2:13" ht="12.75">
      <c r="B480" t="s">
        <v>3</v>
      </c>
      <c r="D480" t="s">
        <v>4</v>
      </c>
      <c r="F480" t="s">
        <v>5</v>
      </c>
      <c r="H480" t="s">
        <v>6</v>
      </c>
      <c r="J480" t="s">
        <v>7</v>
      </c>
      <c r="K480" s="4" t="s">
        <v>8</v>
      </c>
      <c r="L480" s="4" t="s">
        <v>9</v>
      </c>
      <c r="M480" t="s">
        <v>10</v>
      </c>
    </row>
    <row r="481" spans="2:12" ht="12.75">
      <c r="B481" t="s">
        <v>211</v>
      </c>
      <c r="D481">
        <v>402515</v>
      </c>
      <c r="E481" t="s">
        <v>15</v>
      </c>
      <c r="F481">
        <v>350005</v>
      </c>
      <c r="G481" t="s">
        <v>96</v>
      </c>
      <c r="H481">
        <v>35</v>
      </c>
      <c r="I481" t="s">
        <v>17</v>
      </c>
      <c r="J481">
        <v>1</v>
      </c>
      <c r="K481" s="4">
        <v>553000</v>
      </c>
      <c r="L481" s="4">
        <v>553000</v>
      </c>
    </row>
    <row r="482" spans="2:12" ht="12.75">
      <c r="B482" t="s">
        <v>211</v>
      </c>
      <c r="D482">
        <v>402604</v>
      </c>
      <c r="E482" t="s">
        <v>97</v>
      </c>
      <c r="F482">
        <v>400024</v>
      </c>
      <c r="G482" t="s">
        <v>25</v>
      </c>
      <c r="H482">
        <v>40</v>
      </c>
      <c r="I482" t="s">
        <v>50</v>
      </c>
      <c r="J482">
        <v>1</v>
      </c>
      <c r="K482" s="4">
        <v>555888</v>
      </c>
      <c r="L482" s="4">
        <v>555888</v>
      </c>
    </row>
    <row r="483" spans="2:12" ht="12.75">
      <c r="B483" t="str">
        <f aca="true" t="shared" si="29" ref="B483:B496">"1228"</f>
        <v>1228</v>
      </c>
      <c r="C483" t="s">
        <v>212</v>
      </c>
      <c r="D483">
        <v>420222</v>
      </c>
      <c r="E483" t="s">
        <v>60</v>
      </c>
      <c r="F483">
        <v>120001</v>
      </c>
      <c r="G483" t="s">
        <v>114</v>
      </c>
      <c r="H483">
        <v>12</v>
      </c>
      <c r="I483" t="s">
        <v>38</v>
      </c>
      <c r="J483">
        <v>10</v>
      </c>
      <c r="K483" s="4">
        <v>3200</v>
      </c>
      <c r="L483" s="4">
        <v>32000</v>
      </c>
    </row>
    <row r="484" spans="2:12" ht="12.75">
      <c r="B484" t="str">
        <f t="shared" si="29"/>
        <v>1228</v>
      </c>
      <c r="C484" t="s">
        <v>212</v>
      </c>
      <c r="D484">
        <v>420222</v>
      </c>
      <c r="E484" t="s">
        <v>60</v>
      </c>
      <c r="F484">
        <v>290001</v>
      </c>
      <c r="G484" t="s">
        <v>207</v>
      </c>
      <c r="H484">
        <v>29</v>
      </c>
      <c r="I484" t="s">
        <v>142</v>
      </c>
      <c r="J484">
        <v>4</v>
      </c>
      <c r="K484" s="4">
        <v>30000</v>
      </c>
      <c r="L484" s="4">
        <v>120000</v>
      </c>
    </row>
    <row r="485" spans="2:12" ht="12.75">
      <c r="B485" t="str">
        <f t="shared" si="29"/>
        <v>1228</v>
      </c>
      <c r="C485" t="s">
        <v>212</v>
      </c>
      <c r="D485">
        <v>420238</v>
      </c>
      <c r="E485" t="s">
        <v>34</v>
      </c>
      <c r="F485">
        <v>160004</v>
      </c>
      <c r="G485" t="s">
        <v>201</v>
      </c>
      <c r="H485">
        <v>16</v>
      </c>
      <c r="I485" t="s">
        <v>71</v>
      </c>
      <c r="J485">
        <v>25</v>
      </c>
      <c r="K485" s="4">
        <v>7800</v>
      </c>
      <c r="L485" s="4">
        <v>195000</v>
      </c>
    </row>
    <row r="486" spans="2:12" ht="12.75">
      <c r="B486" t="str">
        <f t="shared" si="29"/>
        <v>1228</v>
      </c>
      <c r="C486" t="s">
        <v>212</v>
      </c>
      <c r="D486">
        <v>420238</v>
      </c>
      <c r="E486" t="s">
        <v>34</v>
      </c>
      <c r="F486">
        <v>300001</v>
      </c>
      <c r="G486" t="s">
        <v>25</v>
      </c>
      <c r="H486">
        <v>30</v>
      </c>
      <c r="I486" t="s">
        <v>94</v>
      </c>
      <c r="J486">
        <v>145</v>
      </c>
      <c r="K486" s="4">
        <v>3241.37</v>
      </c>
      <c r="L486" s="4">
        <v>469998.65</v>
      </c>
    </row>
    <row r="487" spans="2:12" ht="12.75">
      <c r="B487" t="str">
        <f t="shared" si="29"/>
        <v>1228</v>
      </c>
      <c r="C487" t="s">
        <v>212</v>
      </c>
      <c r="D487">
        <v>420248</v>
      </c>
      <c r="E487" t="s">
        <v>36</v>
      </c>
      <c r="F487">
        <v>10002</v>
      </c>
      <c r="G487" t="s">
        <v>20</v>
      </c>
      <c r="H487">
        <v>1</v>
      </c>
      <c r="I487" t="s">
        <v>21</v>
      </c>
      <c r="J487">
        <v>192</v>
      </c>
      <c r="K487" s="4">
        <v>1000</v>
      </c>
      <c r="L487" s="4">
        <v>192000</v>
      </c>
    </row>
    <row r="488" spans="2:12" ht="12.75">
      <c r="B488" t="str">
        <f t="shared" si="29"/>
        <v>1228</v>
      </c>
      <c r="C488" t="s">
        <v>212</v>
      </c>
      <c r="D488">
        <v>420248</v>
      </c>
      <c r="E488" t="s">
        <v>36</v>
      </c>
      <c r="F488">
        <v>20001</v>
      </c>
      <c r="G488" t="s">
        <v>29</v>
      </c>
      <c r="H488">
        <v>2</v>
      </c>
      <c r="I488" t="s">
        <v>30</v>
      </c>
      <c r="J488">
        <v>110</v>
      </c>
      <c r="K488" s="4">
        <v>1300</v>
      </c>
      <c r="L488" s="4">
        <v>143000</v>
      </c>
    </row>
    <row r="489" spans="2:12" ht="12.75">
      <c r="B489" t="str">
        <f t="shared" si="29"/>
        <v>1228</v>
      </c>
      <c r="C489" t="s">
        <v>212</v>
      </c>
      <c r="D489">
        <v>420248</v>
      </c>
      <c r="E489" t="s">
        <v>36</v>
      </c>
      <c r="F489">
        <v>70001</v>
      </c>
      <c r="G489" t="s">
        <v>213</v>
      </c>
      <c r="H489">
        <v>7</v>
      </c>
      <c r="I489" t="s">
        <v>74</v>
      </c>
      <c r="J489">
        <v>20</v>
      </c>
      <c r="K489" s="4">
        <v>1172</v>
      </c>
      <c r="L489" s="4">
        <v>23440</v>
      </c>
    </row>
    <row r="490" spans="2:12" ht="12.75">
      <c r="B490" t="str">
        <f t="shared" si="29"/>
        <v>1228</v>
      </c>
      <c r="C490" t="s">
        <v>212</v>
      </c>
      <c r="D490">
        <v>420248</v>
      </c>
      <c r="E490" t="s">
        <v>36</v>
      </c>
      <c r="F490">
        <v>300001</v>
      </c>
      <c r="G490" t="s">
        <v>25</v>
      </c>
      <c r="H490">
        <v>30</v>
      </c>
      <c r="I490" t="s">
        <v>94</v>
      </c>
      <c r="J490">
        <v>1</v>
      </c>
      <c r="K490" s="4">
        <v>50000</v>
      </c>
      <c r="L490" s="4">
        <v>50000</v>
      </c>
    </row>
    <row r="491" spans="2:12" ht="12.75">
      <c r="B491" t="str">
        <f t="shared" si="29"/>
        <v>1228</v>
      </c>
      <c r="C491" t="s">
        <v>212</v>
      </c>
      <c r="D491">
        <v>420248</v>
      </c>
      <c r="E491" t="s">
        <v>36</v>
      </c>
      <c r="F491">
        <v>420002</v>
      </c>
      <c r="G491" t="s">
        <v>126</v>
      </c>
      <c r="H491">
        <v>42</v>
      </c>
      <c r="I491" t="s">
        <v>101</v>
      </c>
      <c r="J491">
        <v>60</v>
      </c>
      <c r="K491" s="4">
        <v>700</v>
      </c>
      <c r="L491" s="4">
        <v>42000</v>
      </c>
    </row>
    <row r="492" spans="2:12" ht="12.75">
      <c r="B492" t="str">
        <f t="shared" si="29"/>
        <v>1228</v>
      </c>
      <c r="C492" t="s">
        <v>212</v>
      </c>
      <c r="D492">
        <v>420249</v>
      </c>
      <c r="E492" t="s">
        <v>39</v>
      </c>
      <c r="F492">
        <v>60002</v>
      </c>
      <c r="G492" t="s">
        <v>31</v>
      </c>
      <c r="H492">
        <v>6</v>
      </c>
      <c r="I492" t="s">
        <v>32</v>
      </c>
      <c r="J492">
        <v>80</v>
      </c>
      <c r="K492" s="4">
        <v>1200</v>
      </c>
      <c r="L492" s="4">
        <v>96000</v>
      </c>
    </row>
    <row r="493" spans="2:12" ht="12.75">
      <c r="B493" t="str">
        <f t="shared" si="29"/>
        <v>1228</v>
      </c>
      <c r="C493" t="s">
        <v>212</v>
      </c>
      <c r="D493">
        <v>420249</v>
      </c>
      <c r="E493" t="s">
        <v>39</v>
      </c>
      <c r="F493">
        <v>230002</v>
      </c>
      <c r="G493" t="s">
        <v>214</v>
      </c>
      <c r="H493">
        <v>23</v>
      </c>
      <c r="I493" t="s">
        <v>143</v>
      </c>
      <c r="J493">
        <v>20</v>
      </c>
      <c r="K493" s="4">
        <v>2200</v>
      </c>
      <c r="L493" s="4">
        <v>44000</v>
      </c>
    </row>
    <row r="494" spans="2:12" ht="12.75">
      <c r="B494" t="str">
        <f t="shared" si="29"/>
        <v>1228</v>
      </c>
      <c r="C494" t="s">
        <v>212</v>
      </c>
      <c r="D494">
        <v>420249</v>
      </c>
      <c r="E494" t="s">
        <v>39</v>
      </c>
      <c r="F494">
        <v>290002</v>
      </c>
      <c r="G494" t="s">
        <v>198</v>
      </c>
      <c r="H494">
        <v>29</v>
      </c>
      <c r="I494" t="s">
        <v>142</v>
      </c>
      <c r="J494">
        <v>6</v>
      </c>
      <c r="K494" s="4">
        <v>10355.33</v>
      </c>
      <c r="L494" s="4">
        <v>62131.98</v>
      </c>
    </row>
    <row r="495" spans="2:12" ht="12.75">
      <c r="B495" t="str">
        <f t="shared" si="29"/>
        <v>1228</v>
      </c>
      <c r="C495" t="s">
        <v>212</v>
      </c>
      <c r="D495">
        <v>420703</v>
      </c>
      <c r="E495" t="s">
        <v>51</v>
      </c>
      <c r="F495">
        <v>310002</v>
      </c>
      <c r="G495" t="s">
        <v>86</v>
      </c>
      <c r="H495">
        <v>31</v>
      </c>
      <c r="I495" t="s">
        <v>26</v>
      </c>
      <c r="J495">
        <v>160</v>
      </c>
      <c r="K495" s="4">
        <v>800</v>
      </c>
      <c r="L495" s="4">
        <v>128000</v>
      </c>
    </row>
    <row r="496" spans="2:12" ht="12.75">
      <c r="B496" t="str">
        <f t="shared" si="29"/>
        <v>1228</v>
      </c>
      <c r="C496" t="s">
        <v>212</v>
      </c>
      <c r="D496">
        <v>420703</v>
      </c>
      <c r="E496" t="s">
        <v>51</v>
      </c>
      <c r="F496">
        <v>310008</v>
      </c>
      <c r="G496" t="s">
        <v>148</v>
      </c>
      <c r="H496">
        <v>31</v>
      </c>
      <c r="I496" t="s">
        <v>26</v>
      </c>
      <c r="J496">
        <v>402</v>
      </c>
      <c r="K496" s="4">
        <v>1393.03</v>
      </c>
      <c r="L496" s="4">
        <v>559998.06</v>
      </c>
    </row>
    <row r="497" spans="2:12" ht="12.75">
      <c r="B497" t="str">
        <f>"139"</f>
        <v>139</v>
      </c>
      <c r="C497" t="s">
        <v>215</v>
      </c>
      <c r="D497">
        <v>402513</v>
      </c>
      <c r="E497" t="s">
        <v>85</v>
      </c>
      <c r="F497">
        <v>410005</v>
      </c>
      <c r="G497" t="s">
        <v>190</v>
      </c>
      <c r="H497">
        <v>41</v>
      </c>
      <c r="I497" t="s">
        <v>14</v>
      </c>
      <c r="J497">
        <v>1</v>
      </c>
      <c r="K497" s="4">
        <v>6300</v>
      </c>
      <c r="L497" s="4">
        <v>6300</v>
      </c>
    </row>
    <row r="498" spans="2:12" ht="12.75">
      <c r="B498" t="str">
        <f>"139"</f>
        <v>139</v>
      </c>
      <c r="C498" t="s">
        <v>215</v>
      </c>
      <c r="D498">
        <v>402514</v>
      </c>
      <c r="E498" t="s">
        <v>45</v>
      </c>
      <c r="F498">
        <v>310007</v>
      </c>
      <c r="G498" t="s">
        <v>82</v>
      </c>
      <c r="H498">
        <v>31</v>
      </c>
      <c r="I498" t="s">
        <v>26</v>
      </c>
      <c r="J498">
        <v>1</v>
      </c>
      <c r="K498" s="4">
        <v>3900</v>
      </c>
      <c r="L498" s="4">
        <v>3900</v>
      </c>
    </row>
    <row r="499" spans="2:12" ht="12.75">
      <c r="B499" t="str">
        <f>"1654"</f>
        <v>1654</v>
      </c>
      <c r="C499" t="s">
        <v>216</v>
      </c>
      <c r="D499">
        <v>402516</v>
      </c>
      <c r="E499" t="s">
        <v>109</v>
      </c>
      <c r="F499">
        <v>350005</v>
      </c>
      <c r="G499" t="s">
        <v>96</v>
      </c>
      <c r="H499">
        <v>35</v>
      </c>
      <c r="I499" t="s">
        <v>17</v>
      </c>
      <c r="J499">
        <v>1</v>
      </c>
      <c r="K499" s="4">
        <v>100000</v>
      </c>
      <c r="L499" s="4">
        <v>100000</v>
      </c>
    </row>
    <row r="500" spans="2:12" ht="12.75">
      <c r="B500" t="str">
        <f aca="true" t="shared" si="30" ref="B500:B507">"5572"</f>
        <v>5572</v>
      </c>
      <c r="C500" t="s">
        <v>40</v>
      </c>
      <c r="D500">
        <v>402510</v>
      </c>
      <c r="E500" t="s">
        <v>12</v>
      </c>
      <c r="F500">
        <v>350004</v>
      </c>
      <c r="G500" t="s">
        <v>188</v>
      </c>
      <c r="H500">
        <v>35</v>
      </c>
      <c r="I500" t="s">
        <v>17</v>
      </c>
      <c r="J500">
        <v>1</v>
      </c>
      <c r="K500" s="4">
        <v>41</v>
      </c>
      <c r="L500" s="4">
        <v>41</v>
      </c>
    </row>
    <row r="501" spans="2:12" ht="12.75">
      <c r="B501" t="str">
        <f t="shared" si="30"/>
        <v>5572</v>
      </c>
      <c r="C501" t="s">
        <v>40</v>
      </c>
      <c r="D501">
        <v>402514</v>
      </c>
      <c r="E501" t="s">
        <v>45</v>
      </c>
      <c r="F501">
        <v>310007</v>
      </c>
      <c r="G501" t="s">
        <v>82</v>
      </c>
      <c r="H501">
        <v>31</v>
      </c>
      <c r="I501" t="s">
        <v>26</v>
      </c>
      <c r="J501">
        <v>1</v>
      </c>
      <c r="K501" s="4">
        <v>101383</v>
      </c>
      <c r="L501" s="4">
        <v>101383</v>
      </c>
    </row>
    <row r="502" spans="2:12" ht="12.75">
      <c r="B502" t="str">
        <f t="shared" si="30"/>
        <v>5572</v>
      </c>
      <c r="C502" t="s">
        <v>40</v>
      </c>
      <c r="D502">
        <v>402515</v>
      </c>
      <c r="E502" t="s">
        <v>15</v>
      </c>
      <c r="F502">
        <v>350005</v>
      </c>
      <c r="G502" t="s">
        <v>96</v>
      </c>
      <c r="H502">
        <v>35</v>
      </c>
      <c r="I502" t="s">
        <v>17</v>
      </c>
      <c r="J502">
        <v>1</v>
      </c>
      <c r="K502" s="4">
        <v>866362</v>
      </c>
      <c r="L502" s="4">
        <v>866362</v>
      </c>
    </row>
    <row r="503" spans="2:12" ht="12.75">
      <c r="B503" t="str">
        <f t="shared" si="30"/>
        <v>5572</v>
      </c>
      <c r="C503" t="s">
        <v>40</v>
      </c>
      <c r="D503">
        <v>402516</v>
      </c>
      <c r="E503" t="s">
        <v>109</v>
      </c>
      <c r="F503">
        <v>350011</v>
      </c>
      <c r="G503" t="s">
        <v>25</v>
      </c>
      <c r="H503">
        <v>35</v>
      </c>
      <c r="I503" t="s">
        <v>17</v>
      </c>
      <c r="J503">
        <v>1</v>
      </c>
      <c r="K503" s="4">
        <v>69125</v>
      </c>
      <c r="L503" s="4">
        <v>69125</v>
      </c>
    </row>
    <row r="504" spans="2:12" ht="12.75">
      <c r="B504" t="str">
        <f t="shared" si="30"/>
        <v>5572</v>
      </c>
      <c r="C504" t="s">
        <v>40</v>
      </c>
      <c r="D504">
        <v>402604</v>
      </c>
      <c r="E504" t="s">
        <v>97</v>
      </c>
      <c r="F504">
        <v>400024</v>
      </c>
      <c r="G504" t="s">
        <v>25</v>
      </c>
      <c r="H504">
        <v>40</v>
      </c>
      <c r="I504" t="s">
        <v>50</v>
      </c>
      <c r="J504">
        <v>1</v>
      </c>
      <c r="K504" s="4">
        <v>47640</v>
      </c>
      <c r="L504" s="4">
        <v>47640</v>
      </c>
    </row>
    <row r="505" spans="2:12" ht="12.75">
      <c r="B505" t="str">
        <f t="shared" si="30"/>
        <v>5572</v>
      </c>
      <c r="C505" t="s">
        <v>40</v>
      </c>
      <c r="D505">
        <v>402607</v>
      </c>
      <c r="E505" t="s">
        <v>91</v>
      </c>
      <c r="F505">
        <v>310009</v>
      </c>
      <c r="G505" t="s">
        <v>25</v>
      </c>
      <c r="H505">
        <v>31</v>
      </c>
      <c r="I505" t="s">
        <v>26</v>
      </c>
      <c r="J505">
        <v>1</v>
      </c>
      <c r="K505" s="4">
        <v>1354843</v>
      </c>
      <c r="L505" s="4">
        <v>1354843</v>
      </c>
    </row>
    <row r="506" spans="2:12" ht="12.75">
      <c r="B506" t="str">
        <f t="shared" si="30"/>
        <v>5572</v>
      </c>
      <c r="C506" t="s">
        <v>40</v>
      </c>
      <c r="D506">
        <v>402608</v>
      </c>
      <c r="E506" t="s">
        <v>178</v>
      </c>
      <c r="F506">
        <v>400024</v>
      </c>
      <c r="G506" t="s">
        <v>25</v>
      </c>
      <c r="H506">
        <v>40</v>
      </c>
      <c r="I506" t="s">
        <v>50</v>
      </c>
      <c r="J506">
        <v>1</v>
      </c>
      <c r="K506" s="4">
        <v>38282</v>
      </c>
      <c r="L506" s="4">
        <v>38282</v>
      </c>
    </row>
    <row r="507" spans="2:12" ht="12.75">
      <c r="B507" t="str">
        <f t="shared" si="30"/>
        <v>5572</v>
      </c>
      <c r="C507" t="s">
        <v>40</v>
      </c>
      <c r="D507">
        <v>402941</v>
      </c>
      <c r="E507" t="s">
        <v>98</v>
      </c>
      <c r="F507">
        <v>420001</v>
      </c>
      <c r="G507" t="s">
        <v>185</v>
      </c>
      <c r="H507">
        <v>42</v>
      </c>
      <c r="I507" t="s">
        <v>101</v>
      </c>
      <c r="J507">
        <v>1</v>
      </c>
      <c r="K507" s="4">
        <v>9217</v>
      </c>
      <c r="L507" s="4">
        <v>9217</v>
      </c>
    </row>
    <row r="508" spans="2:12" ht="12.75">
      <c r="B508" t="str">
        <f>"9436"</f>
        <v>9436</v>
      </c>
      <c r="C508" t="s">
        <v>217</v>
      </c>
      <c r="D508">
        <v>402515</v>
      </c>
      <c r="E508" t="s">
        <v>15</v>
      </c>
      <c r="F508">
        <v>350005</v>
      </c>
      <c r="G508" t="s">
        <v>96</v>
      </c>
      <c r="H508">
        <v>35</v>
      </c>
      <c r="I508" t="s">
        <v>17</v>
      </c>
      <c r="J508">
        <v>1</v>
      </c>
      <c r="K508" s="4">
        <v>2075000</v>
      </c>
      <c r="L508" s="4">
        <v>2075000</v>
      </c>
    </row>
    <row r="509" spans="2:12" ht="12.75">
      <c r="B509" t="str">
        <f>"9436"</f>
        <v>9436</v>
      </c>
      <c r="C509" t="s">
        <v>217</v>
      </c>
      <c r="D509">
        <v>402604</v>
      </c>
      <c r="E509" t="s">
        <v>97</v>
      </c>
      <c r="F509">
        <v>400024</v>
      </c>
      <c r="G509" t="s">
        <v>25</v>
      </c>
      <c r="H509">
        <v>40</v>
      </c>
      <c r="I509" t="s">
        <v>50</v>
      </c>
      <c r="J509">
        <v>1</v>
      </c>
      <c r="K509" s="4">
        <v>2076678</v>
      </c>
      <c r="L509" s="4">
        <v>2076678</v>
      </c>
    </row>
    <row r="510" spans="2:12" ht="12.75">
      <c r="B510" t="str">
        <f>"9438"</f>
        <v>9438</v>
      </c>
      <c r="C510" t="s">
        <v>218</v>
      </c>
      <c r="D510">
        <v>402515</v>
      </c>
      <c r="E510" t="s">
        <v>15</v>
      </c>
      <c r="F510">
        <v>350005</v>
      </c>
      <c r="G510" t="s">
        <v>96</v>
      </c>
      <c r="H510">
        <v>35</v>
      </c>
      <c r="I510" t="s">
        <v>17</v>
      </c>
      <c r="J510">
        <v>1</v>
      </c>
      <c r="K510" s="4">
        <v>690000</v>
      </c>
      <c r="L510" s="4">
        <v>690000</v>
      </c>
    </row>
    <row r="511" spans="2:12" ht="12.75">
      <c r="B511" t="str">
        <f>"9438"</f>
        <v>9438</v>
      </c>
      <c r="C511" t="s">
        <v>218</v>
      </c>
      <c r="D511">
        <v>402604</v>
      </c>
      <c r="E511" t="s">
        <v>97</v>
      </c>
      <c r="F511">
        <v>400024</v>
      </c>
      <c r="G511" t="s">
        <v>25</v>
      </c>
      <c r="H511">
        <v>40</v>
      </c>
      <c r="I511" t="s">
        <v>50</v>
      </c>
      <c r="J511">
        <v>1</v>
      </c>
      <c r="K511" s="4">
        <v>690000</v>
      </c>
      <c r="L511" s="4">
        <v>690000</v>
      </c>
    </row>
    <row r="512" spans="1:2" ht="12.75">
      <c r="A512" t="s">
        <v>47</v>
      </c>
      <c r="B512">
        <f>SUM(L481:L511)</f>
        <v>11395227.69</v>
      </c>
    </row>
    <row r="514" ht="12.75">
      <c r="A514" t="str">
        <f>"1715 - Inšpektorat RS za notranje zadeve, verzija: 1"</f>
        <v>1715 - Inšpektorat RS za notranje zadeve, verzija: 1</v>
      </c>
    </row>
    <row r="515" spans="2:13" ht="12.75">
      <c r="B515" t="s">
        <v>3</v>
      </c>
      <c r="D515" t="s">
        <v>4</v>
      </c>
      <c r="F515" t="s">
        <v>5</v>
      </c>
      <c r="H515" t="s">
        <v>6</v>
      </c>
      <c r="J515" t="s">
        <v>7</v>
      </c>
      <c r="K515" s="4" t="s">
        <v>8</v>
      </c>
      <c r="L515" s="4" t="s">
        <v>9</v>
      </c>
      <c r="M515" t="s">
        <v>10</v>
      </c>
    </row>
    <row r="516" spans="2:13" ht="12.75">
      <c r="B516" t="str">
        <f>"1657"</f>
        <v>1657</v>
      </c>
      <c r="C516" t="s">
        <v>40</v>
      </c>
      <c r="D516">
        <v>402513</v>
      </c>
      <c r="E516" t="s">
        <v>85</v>
      </c>
      <c r="F516">
        <v>410001</v>
      </c>
      <c r="G516" t="s">
        <v>13</v>
      </c>
      <c r="H516">
        <v>41</v>
      </c>
      <c r="I516" t="s">
        <v>14</v>
      </c>
      <c r="J516">
        <v>1</v>
      </c>
      <c r="K516" s="4">
        <v>2600</v>
      </c>
      <c r="L516" s="4">
        <v>2600</v>
      </c>
      <c r="M516" t="s">
        <v>219</v>
      </c>
    </row>
    <row r="517" spans="1:2" ht="12.75">
      <c r="A517" t="s">
        <v>47</v>
      </c>
      <c r="B517">
        <f>SUM(L516:L516)</f>
        <v>2600</v>
      </c>
    </row>
    <row r="519" ht="12.75">
      <c r="A519" t="str">
        <f>"1811 - Ministrstvo za zunanje zadeve, verzija: 1"</f>
        <v>1811 - Ministrstvo za zunanje zadeve, verzija: 1</v>
      </c>
    </row>
    <row r="520" spans="2:13" ht="12.75">
      <c r="B520" t="s">
        <v>3</v>
      </c>
      <c r="D520" t="s">
        <v>4</v>
      </c>
      <c r="F520" t="s">
        <v>5</v>
      </c>
      <c r="H520" t="s">
        <v>6</v>
      </c>
      <c r="J520" t="s">
        <v>7</v>
      </c>
      <c r="K520" s="4" t="s">
        <v>8</v>
      </c>
      <c r="L520" s="4" t="s">
        <v>9</v>
      </c>
      <c r="M520" t="s">
        <v>10</v>
      </c>
    </row>
    <row r="521" spans="2:12" ht="12.75">
      <c r="B521" t="str">
        <f>"7345"</f>
        <v>7345</v>
      </c>
      <c r="C521" t="s">
        <v>220</v>
      </c>
      <c r="D521">
        <v>420704</v>
      </c>
      <c r="E521" t="s">
        <v>24</v>
      </c>
      <c r="F521">
        <v>370001</v>
      </c>
      <c r="G521" t="s">
        <v>133</v>
      </c>
      <c r="H521">
        <v>37</v>
      </c>
      <c r="I521" t="s">
        <v>134</v>
      </c>
      <c r="J521">
        <v>1</v>
      </c>
      <c r="K521" s="4">
        <v>62593.89</v>
      </c>
      <c r="L521" s="4">
        <v>62593.89</v>
      </c>
    </row>
    <row r="522" spans="2:12" ht="12.75">
      <c r="B522" t="str">
        <f aca="true" t="shared" si="31" ref="B522:B553">"7435"</f>
        <v>7435</v>
      </c>
      <c r="C522" t="s">
        <v>27</v>
      </c>
      <c r="D522">
        <v>402007</v>
      </c>
      <c r="E522" t="s">
        <v>41</v>
      </c>
      <c r="F522">
        <v>330001</v>
      </c>
      <c r="G522" t="s">
        <v>221</v>
      </c>
      <c r="H522">
        <v>33</v>
      </c>
      <c r="I522" t="s">
        <v>222</v>
      </c>
      <c r="J522">
        <v>1</v>
      </c>
      <c r="K522" s="4">
        <v>50075.11</v>
      </c>
      <c r="L522" s="4">
        <v>50075.11</v>
      </c>
    </row>
    <row r="523" spans="2:12" ht="12.75">
      <c r="B523" t="str">
        <f t="shared" si="31"/>
        <v>7435</v>
      </c>
      <c r="C523" t="s">
        <v>27</v>
      </c>
      <c r="D523">
        <v>402007</v>
      </c>
      <c r="E523" t="s">
        <v>41</v>
      </c>
      <c r="F523">
        <v>420002</v>
      </c>
      <c r="G523" t="s">
        <v>126</v>
      </c>
      <c r="H523">
        <v>42</v>
      </c>
      <c r="I523" t="s">
        <v>101</v>
      </c>
      <c r="J523">
        <v>1</v>
      </c>
      <c r="K523" s="4">
        <v>50075.11</v>
      </c>
      <c r="L523" s="4">
        <v>50075.11</v>
      </c>
    </row>
    <row r="524" spans="2:12" ht="12.75">
      <c r="B524" t="str">
        <f t="shared" si="31"/>
        <v>7435</v>
      </c>
      <c r="C524" t="s">
        <v>27</v>
      </c>
      <c r="D524">
        <v>402007</v>
      </c>
      <c r="E524" t="s">
        <v>41</v>
      </c>
      <c r="F524">
        <v>420002</v>
      </c>
      <c r="G524" t="s">
        <v>126</v>
      </c>
      <c r="H524">
        <v>42</v>
      </c>
      <c r="I524" t="s">
        <v>101</v>
      </c>
      <c r="J524">
        <v>1</v>
      </c>
      <c r="K524" s="4">
        <v>87631.45</v>
      </c>
      <c r="L524" s="4">
        <v>87631.45</v>
      </c>
    </row>
    <row r="525" spans="2:12" ht="12.75">
      <c r="B525" t="str">
        <f t="shared" si="31"/>
        <v>7435</v>
      </c>
      <c r="C525" t="s">
        <v>27</v>
      </c>
      <c r="D525">
        <v>402007</v>
      </c>
      <c r="E525" t="s">
        <v>41</v>
      </c>
      <c r="F525">
        <v>420002</v>
      </c>
      <c r="G525" t="s">
        <v>126</v>
      </c>
      <c r="H525">
        <v>42</v>
      </c>
      <c r="I525" t="s">
        <v>101</v>
      </c>
      <c r="J525">
        <v>1</v>
      </c>
      <c r="K525" s="4">
        <v>87631.45</v>
      </c>
      <c r="L525" s="4">
        <v>87631.45</v>
      </c>
    </row>
    <row r="526" spans="2:12" ht="12.75">
      <c r="B526" t="str">
        <f t="shared" si="31"/>
        <v>7435</v>
      </c>
      <c r="C526" t="s">
        <v>27</v>
      </c>
      <c r="D526">
        <v>402007</v>
      </c>
      <c r="E526" t="s">
        <v>41</v>
      </c>
      <c r="F526">
        <v>430003</v>
      </c>
      <c r="G526" t="s">
        <v>223</v>
      </c>
      <c r="H526">
        <v>43</v>
      </c>
      <c r="I526" t="s">
        <v>56</v>
      </c>
      <c r="J526">
        <v>1</v>
      </c>
      <c r="K526" s="4">
        <v>50075.11</v>
      </c>
      <c r="L526" s="4">
        <v>50075.11</v>
      </c>
    </row>
    <row r="527" spans="2:12" ht="12.75">
      <c r="B527" t="str">
        <f t="shared" si="31"/>
        <v>7435</v>
      </c>
      <c r="C527" t="s">
        <v>27</v>
      </c>
      <c r="D527">
        <v>402007</v>
      </c>
      <c r="E527" t="s">
        <v>41</v>
      </c>
      <c r="F527">
        <v>430007</v>
      </c>
      <c r="G527" t="s">
        <v>55</v>
      </c>
      <c r="H527">
        <v>43</v>
      </c>
      <c r="I527" t="s">
        <v>56</v>
      </c>
      <c r="J527">
        <v>1</v>
      </c>
      <c r="K527" s="4">
        <v>50075.11</v>
      </c>
      <c r="L527" s="4">
        <v>50075.11</v>
      </c>
    </row>
    <row r="528" spans="2:12" ht="12.75">
      <c r="B528" t="str">
        <f t="shared" si="31"/>
        <v>7435</v>
      </c>
      <c r="C528" t="s">
        <v>27</v>
      </c>
      <c r="D528">
        <v>402011</v>
      </c>
      <c r="E528" t="s">
        <v>54</v>
      </c>
      <c r="F528">
        <v>390003</v>
      </c>
      <c r="G528" t="s">
        <v>154</v>
      </c>
      <c r="H528">
        <v>39</v>
      </c>
      <c r="I528" t="s">
        <v>141</v>
      </c>
      <c r="J528">
        <v>1</v>
      </c>
      <c r="K528" s="4">
        <v>166917.04</v>
      </c>
      <c r="L528" s="4">
        <v>166917.04</v>
      </c>
    </row>
    <row r="529" spans="2:12" ht="12.75">
      <c r="B529" t="str">
        <f t="shared" si="31"/>
        <v>7435</v>
      </c>
      <c r="C529" t="s">
        <v>27</v>
      </c>
      <c r="D529">
        <v>402510</v>
      </c>
      <c r="E529" t="s">
        <v>12</v>
      </c>
      <c r="F529">
        <v>350002</v>
      </c>
      <c r="G529" t="s">
        <v>88</v>
      </c>
      <c r="H529">
        <v>35</v>
      </c>
      <c r="I529" t="s">
        <v>17</v>
      </c>
      <c r="J529">
        <v>1</v>
      </c>
      <c r="K529" s="4">
        <v>33383.41</v>
      </c>
      <c r="L529" s="4">
        <v>33383.41</v>
      </c>
    </row>
    <row r="530" spans="2:12" ht="12.75">
      <c r="B530" t="str">
        <f t="shared" si="31"/>
        <v>7435</v>
      </c>
      <c r="C530" t="s">
        <v>27</v>
      </c>
      <c r="D530">
        <v>402510</v>
      </c>
      <c r="E530" t="s">
        <v>12</v>
      </c>
      <c r="F530">
        <v>350002</v>
      </c>
      <c r="G530" t="s">
        <v>88</v>
      </c>
      <c r="H530">
        <v>35</v>
      </c>
      <c r="I530" t="s">
        <v>17</v>
      </c>
      <c r="J530">
        <v>1</v>
      </c>
      <c r="K530" s="4">
        <v>29210.48</v>
      </c>
      <c r="L530" s="4">
        <v>29210.48</v>
      </c>
    </row>
    <row r="531" spans="2:12" ht="12.75">
      <c r="B531" t="str">
        <f t="shared" si="31"/>
        <v>7435</v>
      </c>
      <c r="C531" t="s">
        <v>27</v>
      </c>
      <c r="D531">
        <v>402510</v>
      </c>
      <c r="E531" t="s">
        <v>12</v>
      </c>
      <c r="F531">
        <v>350003</v>
      </c>
      <c r="G531" t="s">
        <v>44</v>
      </c>
      <c r="H531">
        <v>35</v>
      </c>
      <c r="I531" t="s">
        <v>17</v>
      </c>
      <c r="J531">
        <v>1</v>
      </c>
      <c r="K531" s="4">
        <v>50075.11</v>
      </c>
      <c r="L531" s="4">
        <v>50075.11</v>
      </c>
    </row>
    <row r="532" spans="2:12" ht="12.75">
      <c r="B532" t="str">
        <f t="shared" si="31"/>
        <v>7435</v>
      </c>
      <c r="C532" t="s">
        <v>27</v>
      </c>
      <c r="D532">
        <v>402513</v>
      </c>
      <c r="E532" t="s">
        <v>85</v>
      </c>
      <c r="F532">
        <v>410001</v>
      </c>
      <c r="G532" t="s">
        <v>13</v>
      </c>
      <c r="H532">
        <v>41</v>
      </c>
      <c r="I532" t="s">
        <v>14</v>
      </c>
      <c r="J532">
        <v>1</v>
      </c>
      <c r="K532" s="4">
        <v>33383.41</v>
      </c>
      <c r="L532" s="4">
        <v>33383.41</v>
      </c>
    </row>
    <row r="533" spans="2:12" ht="12.75">
      <c r="B533" t="str">
        <f t="shared" si="31"/>
        <v>7435</v>
      </c>
      <c r="C533" t="s">
        <v>27</v>
      </c>
      <c r="D533">
        <v>402513</v>
      </c>
      <c r="E533" t="s">
        <v>85</v>
      </c>
      <c r="F533">
        <v>410001</v>
      </c>
      <c r="G533" t="s">
        <v>13</v>
      </c>
      <c r="H533">
        <v>41</v>
      </c>
      <c r="I533" t="s">
        <v>14</v>
      </c>
      <c r="J533">
        <v>1</v>
      </c>
      <c r="K533" s="4">
        <v>62593.89</v>
      </c>
      <c r="L533" s="4">
        <v>62593.89</v>
      </c>
    </row>
    <row r="534" spans="2:12" ht="12.75">
      <c r="B534" t="str">
        <f t="shared" si="31"/>
        <v>7435</v>
      </c>
      <c r="C534" t="s">
        <v>27</v>
      </c>
      <c r="D534">
        <v>402513</v>
      </c>
      <c r="E534" t="s">
        <v>85</v>
      </c>
      <c r="F534">
        <v>410001</v>
      </c>
      <c r="G534" t="s">
        <v>13</v>
      </c>
      <c r="H534">
        <v>41</v>
      </c>
      <c r="I534" t="s">
        <v>14</v>
      </c>
      <c r="J534">
        <v>1</v>
      </c>
      <c r="K534" s="4">
        <v>41729.26</v>
      </c>
      <c r="L534" s="4">
        <v>41729.26</v>
      </c>
    </row>
    <row r="535" spans="2:12" ht="12.75">
      <c r="B535" t="str">
        <f t="shared" si="31"/>
        <v>7435</v>
      </c>
      <c r="C535" t="s">
        <v>27</v>
      </c>
      <c r="D535">
        <v>402513</v>
      </c>
      <c r="E535" t="s">
        <v>85</v>
      </c>
      <c r="F535">
        <v>410003</v>
      </c>
      <c r="G535" t="s">
        <v>125</v>
      </c>
      <c r="H535">
        <v>41</v>
      </c>
      <c r="I535" t="s">
        <v>14</v>
      </c>
      <c r="J535">
        <v>1</v>
      </c>
      <c r="K535" s="4">
        <v>208646.3</v>
      </c>
      <c r="L535" s="4">
        <v>208646.3</v>
      </c>
    </row>
    <row r="536" spans="2:12" ht="12.75">
      <c r="B536" t="str">
        <f t="shared" si="31"/>
        <v>7435</v>
      </c>
      <c r="C536" t="s">
        <v>27</v>
      </c>
      <c r="D536">
        <v>402513</v>
      </c>
      <c r="E536" t="s">
        <v>85</v>
      </c>
      <c r="F536">
        <v>410003</v>
      </c>
      <c r="G536" t="s">
        <v>125</v>
      </c>
      <c r="H536">
        <v>41</v>
      </c>
      <c r="I536" t="s">
        <v>14</v>
      </c>
      <c r="J536">
        <v>1</v>
      </c>
      <c r="K536" s="4">
        <v>41729.26</v>
      </c>
      <c r="L536" s="4">
        <v>41729.26</v>
      </c>
    </row>
    <row r="537" spans="2:12" ht="12.75">
      <c r="B537" t="str">
        <f t="shared" si="31"/>
        <v>7435</v>
      </c>
      <c r="C537" t="s">
        <v>27</v>
      </c>
      <c r="D537">
        <v>402513</v>
      </c>
      <c r="E537" t="s">
        <v>85</v>
      </c>
      <c r="F537">
        <v>410003</v>
      </c>
      <c r="G537" t="s">
        <v>125</v>
      </c>
      <c r="H537">
        <v>41</v>
      </c>
      <c r="I537" t="s">
        <v>14</v>
      </c>
      <c r="J537">
        <v>1</v>
      </c>
      <c r="K537" s="4">
        <v>41729.26</v>
      </c>
      <c r="L537" s="4">
        <v>41729.26</v>
      </c>
    </row>
    <row r="538" spans="2:12" ht="12.75">
      <c r="B538" t="str">
        <f t="shared" si="31"/>
        <v>7435</v>
      </c>
      <c r="C538" t="s">
        <v>27</v>
      </c>
      <c r="D538">
        <v>402514</v>
      </c>
      <c r="E538" t="s">
        <v>45</v>
      </c>
      <c r="F538">
        <v>310007</v>
      </c>
      <c r="G538" t="s">
        <v>82</v>
      </c>
      <c r="H538">
        <v>31</v>
      </c>
      <c r="I538" t="s">
        <v>26</v>
      </c>
      <c r="J538">
        <v>900</v>
      </c>
      <c r="K538" s="4">
        <v>133.53</v>
      </c>
      <c r="L538" s="4">
        <v>120177</v>
      </c>
    </row>
    <row r="539" spans="2:12" ht="12.75">
      <c r="B539" t="str">
        <f t="shared" si="31"/>
        <v>7435</v>
      </c>
      <c r="C539" t="s">
        <v>27</v>
      </c>
      <c r="D539">
        <v>402514</v>
      </c>
      <c r="E539" t="s">
        <v>45</v>
      </c>
      <c r="F539">
        <v>310007</v>
      </c>
      <c r="G539" t="s">
        <v>82</v>
      </c>
      <c r="H539">
        <v>31</v>
      </c>
      <c r="I539" t="s">
        <v>26</v>
      </c>
      <c r="J539">
        <v>900</v>
      </c>
      <c r="K539" s="4">
        <v>46.37</v>
      </c>
      <c r="L539" s="4">
        <v>41733</v>
      </c>
    </row>
    <row r="540" spans="2:12" ht="12.75">
      <c r="B540" t="str">
        <f t="shared" si="31"/>
        <v>7435</v>
      </c>
      <c r="C540" t="s">
        <v>27</v>
      </c>
      <c r="D540">
        <v>402514</v>
      </c>
      <c r="E540" t="s">
        <v>45</v>
      </c>
      <c r="F540">
        <v>310007</v>
      </c>
      <c r="G540" t="s">
        <v>82</v>
      </c>
      <c r="H540">
        <v>31</v>
      </c>
      <c r="I540" t="s">
        <v>26</v>
      </c>
      <c r="J540">
        <v>1</v>
      </c>
      <c r="K540" s="4">
        <v>22951.09</v>
      </c>
      <c r="L540" s="4">
        <v>22951.09</v>
      </c>
    </row>
    <row r="541" spans="2:12" ht="12.75">
      <c r="B541" t="str">
        <f t="shared" si="31"/>
        <v>7435</v>
      </c>
      <c r="C541" t="s">
        <v>27</v>
      </c>
      <c r="D541">
        <v>402514</v>
      </c>
      <c r="E541" t="s">
        <v>45</v>
      </c>
      <c r="F541">
        <v>310007</v>
      </c>
      <c r="G541" t="s">
        <v>82</v>
      </c>
      <c r="H541">
        <v>31</v>
      </c>
      <c r="I541" t="s">
        <v>26</v>
      </c>
      <c r="J541">
        <v>1</v>
      </c>
      <c r="K541" s="4">
        <v>36919.38</v>
      </c>
      <c r="L541" s="4">
        <v>36919.38</v>
      </c>
    </row>
    <row r="542" spans="2:12" ht="12.75">
      <c r="B542" t="str">
        <f t="shared" si="31"/>
        <v>7435</v>
      </c>
      <c r="C542" t="s">
        <v>27</v>
      </c>
      <c r="D542">
        <v>402515</v>
      </c>
      <c r="E542" t="s">
        <v>15</v>
      </c>
      <c r="F542">
        <v>200017</v>
      </c>
      <c r="G542" t="s">
        <v>25</v>
      </c>
      <c r="H542">
        <v>20</v>
      </c>
      <c r="I542" t="s">
        <v>146</v>
      </c>
      <c r="J542">
        <v>1</v>
      </c>
      <c r="K542" s="4">
        <v>62593.89</v>
      </c>
      <c r="L542" s="4">
        <v>62593.89</v>
      </c>
    </row>
    <row r="543" spans="2:12" ht="12.75">
      <c r="B543" t="str">
        <f t="shared" si="31"/>
        <v>7435</v>
      </c>
      <c r="C543" t="s">
        <v>27</v>
      </c>
      <c r="D543">
        <v>402515</v>
      </c>
      <c r="E543" t="s">
        <v>15</v>
      </c>
      <c r="F543">
        <v>310001</v>
      </c>
      <c r="G543" t="s">
        <v>175</v>
      </c>
      <c r="H543">
        <v>31</v>
      </c>
      <c r="I543" t="s">
        <v>26</v>
      </c>
      <c r="J543">
        <v>1</v>
      </c>
      <c r="K543" s="4">
        <v>12518.78</v>
      </c>
      <c r="L543" s="4">
        <v>12518.78</v>
      </c>
    </row>
    <row r="544" spans="2:12" ht="12.75">
      <c r="B544" t="str">
        <f t="shared" si="31"/>
        <v>7435</v>
      </c>
      <c r="C544" t="s">
        <v>27</v>
      </c>
      <c r="D544">
        <v>402515</v>
      </c>
      <c r="E544" t="s">
        <v>15</v>
      </c>
      <c r="F544">
        <v>310001</v>
      </c>
      <c r="G544" t="s">
        <v>175</v>
      </c>
      <c r="H544">
        <v>31</v>
      </c>
      <c r="I544" t="s">
        <v>26</v>
      </c>
      <c r="J544">
        <v>1</v>
      </c>
      <c r="K544" s="4">
        <v>12518.78</v>
      </c>
      <c r="L544" s="4">
        <v>12518.78</v>
      </c>
    </row>
    <row r="545" spans="2:12" ht="12.75">
      <c r="B545" t="str">
        <f t="shared" si="31"/>
        <v>7435</v>
      </c>
      <c r="C545" t="s">
        <v>27</v>
      </c>
      <c r="D545">
        <v>402515</v>
      </c>
      <c r="E545" t="s">
        <v>15</v>
      </c>
      <c r="F545">
        <v>400010</v>
      </c>
      <c r="G545" t="s">
        <v>35</v>
      </c>
      <c r="H545">
        <v>40</v>
      </c>
      <c r="I545" t="s">
        <v>50</v>
      </c>
      <c r="J545">
        <v>1</v>
      </c>
      <c r="K545" s="4">
        <v>20864.63</v>
      </c>
      <c r="L545" s="4">
        <v>20864.63</v>
      </c>
    </row>
    <row r="546" spans="2:12" ht="12.75">
      <c r="B546" t="str">
        <f t="shared" si="31"/>
        <v>7435</v>
      </c>
      <c r="C546" t="s">
        <v>27</v>
      </c>
      <c r="D546">
        <v>402515</v>
      </c>
      <c r="E546" t="s">
        <v>15</v>
      </c>
      <c r="F546">
        <v>400012</v>
      </c>
      <c r="G546" t="s">
        <v>90</v>
      </c>
      <c r="H546">
        <v>40</v>
      </c>
      <c r="I546" t="s">
        <v>50</v>
      </c>
      <c r="J546">
        <v>1</v>
      </c>
      <c r="K546" s="4">
        <v>125187.78</v>
      </c>
      <c r="L546" s="4">
        <v>125187.78</v>
      </c>
    </row>
    <row r="547" spans="2:12" ht="12.75">
      <c r="B547" t="str">
        <f t="shared" si="31"/>
        <v>7435</v>
      </c>
      <c r="C547" t="s">
        <v>27</v>
      </c>
      <c r="D547">
        <v>402515</v>
      </c>
      <c r="E547" t="s">
        <v>15</v>
      </c>
      <c r="F547">
        <v>400012</v>
      </c>
      <c r="G547" t="s">
        <v>90</v>
      </c>
      <c r="H547">
        <v>40</v>
      </c>
      <c r="I547" t="s">
        <v>50</v>
      </c>
      <c r="J547">
        <v>1</v>
      </c>
      <c r="K547" s="4">
        <v>17445.37</v>
      </c>
      <c r="L547" s="4">
        <v>17445.37</v>
      </c>
    </row>
    <row r="548" spans="2:12" ht="12.75">
      <c r="B548" t="str">
        <f t="shared" si="31"/>
        <v>7435</v>
      </c>
      <c r="C548" t="s">
        <v>27</v>
      </c>
      <c r="D548">
        <v>402515</v>
      </c>
      <c r="E548" t="s">
        <v>15</v>
      </c>
      <c r="F548">
        <v>400023</v>
      </c>
      <c r="G548" t="s">
        <v>94</v>
      </c>
      <c r="H548">
        <v>40</v>
      </c>
      <c r="I548" t="s">
        <v>50</v>
      </c>
      <c r="J548">
        <v>1</v>
      </c>
      <c r="K548" s="4">
        <v>62593.89</v>
      </c>
      <c r="L548" s="4">
        <v>62593.89</v>
      </c>
    </row>
    <row r="549" spans="2:12" ht="12.75">
      <c r="B549" t="str">
        <f t="shared" si="31"/>
        <v>7435</v>
      </c>
      <c r="C549" t="s">
        <v>27</v>
      </c>
      <c r="D549">
        <v>402515</v>
      </c>
      <c r="E549" t="s">
        <v>15</v>
      </c>
      <c r="F549">
        <v>400024</v>
      </c>
      <c r="G549" t="s">
        <v>25</v>
      </c>
      <c r="H549">
        <v>40</v>
      </c>
      <c r="I549" t="s">
        <v>50</v>
      </c>
      <c r="J549">
        <v>1</v>
      </c>
      <c r="K549" s="4">
        <v>12518.78</v>
      </c>
      <c r="L549" s="4">
        <v>12518.78</v>
      </c>
    </row>
    <row r="550" spans="2:12" ht="12.75">
      <c r="B550" t="str">
        <f t="shared" si="31"/>
        <v>7435</v>
      </c>
      <c r="C550" t="s">
        <v>27</v>
      </c>
      <c r="D550">
        <v>402515</v>
      </c>
      <c r="E550" t="s">
        <v>15</v>
      </c>
      <c r="F550">
        <v>400024</v>
      </c>
      <c r="G550" t="s">
        <v>25</v>
      </c>
      <c r="H550">
        <v>40</v>
      </c>
      <c r="I550" t="s">
        <v>50</v>
      </c>
      <c r="J550">
        <v>1</v>
      </c>
      <c r="K550" s="4">
        <v>12518.78</v>
      </c>
      <c r="L550" s="4">
        <v>12518.78</v>
      </c>
    </row>
    <row r="551" spans="2:12" ht="12.75">
      <c r="B551" t="str">
        <f t="shared" si="31"/>
        <v>7435</v>
      </c>
      <c r="C551" t="s">
        <v>27</v>
      </c>
      <c r="D551">
        <v>402515</v>
      </c>
      <c r="E551" t="s">
        <v>15</v>
      </c>
      <c r="F551">
        <v>410003</v>
      </c>
      <c r="G551" t="s">
        <v>125</v>
      </c>
      <c r="H551">
        <v>41</v>
      </c>
      <c r="I551" t="s">
        <v>14</v>
      </c>
      <c r="J551">
        <v>1</v>
      </c>
      <c r="K551" s="4">
        <v>125187.78</v>
      </c>
      <c r="L551" s="4">
        <v>125187.78</v>
      </c>
    </row>
    <row r="552" spans="2:12" ht="12.75">
      <c r="B552" t="str">
        <f t="shared" si="31"/>
        <v>7435</v>
      </c>
      <c r="C552" t="s">
        <v>27</v>
      </c>
      <c r="D552">
        <v>402516</v>
      </c>
      <c r="E552" t="s">
        <v>109</v>
      </c>
      <c r="F552">
        <v>200017</v>
      </c>
      <c r="G552" t="s">
        <v>25</v>
      </c>
      <c r="H552">
        <v>20</v>
      </c>
      <c r="I552" t="s">
        <v>146</v>
      </c>
      <c r="J552">
        <v>1</v>
      </c>
      <c r="K552" s="4">
        <v>41729.26</v>
      </c>
      <c r="L552" s="4">
        <v>41729.26</v>
      </c>
    </row>
    <row r="553" spans="2:12" ht="12.75">
      <c r="B553" t="str">
        <f t="shared" si="31"/>
        <v>7435</v>
      </c>
      <c r="C553" t="s">
        <v>27</v>
      </c>
      <c r="D553">
        <v>402516</v>
      </c>
      <c r="E553" t="s">
        <v>109</v>
      </c>
      <c r="F553">
        <v>350005</v>
      </c>
      <c r="G553" t="s">
        <v>96</v>
      </c>
      <c r="H553">
        <v>35</v>
      </c>
      <c r="I553" t="s">
        <v>17</v>
      </c>
      <c r="J553">
        <v>1</v>
      </c>
      <c r="K553" s="4">
        <v>41729.26</v>
      </c>
      <c r="L553" s="4">
        <v>41729.26</v>
      </c>
    </row>
    <row r="554" spans="2:12" ht="12.75">
      <c r="B554" t="str">
        <f aca="true" t="shared" si="32" ref="B554:B585">"7435"</f>
        <v>7435</v>
      </c>
      <c r="C554" t="s">
        <v>27</v>
      </c>
      <c r="D554">
        <v>402516</v>
      </c>
      <c r="E554" t="s">
        <v>109</v>
      </c>
      <c r="F554">
        <v>370001</v>
      </c>
      <c r="G554" t="s">
        <v>133</v>
      </c>
      <c r="H554">
        <v>37</v>
      </c>
      <c r="I554" t="s">
        <v>134</v>
      </c>
      <c r="J554">
        <v>1</v>
      </c>
      <c r="K554" s="4">
        <v>62593.89</v>
      </c>
      <c r="L554" s="4">
        <v>62593.89</v>
      </c>
    </row>
    <row r="555" spans="2:12" ht="12.75">
      <c r="B555" t="str">
        <f t="shared" si="32"/>
        <v>7435</v>
      </c>
      <c r="C555" t="s">
        <v>27</v>
      </c>
      <c r="D555">
        <v>402604</v>
      </c>
      <c r="E555" t="s">
        <v>97</v>
      </c>
      <c r="F555">
        <v>420004</v>
      </c>
      <c r="G555" t="s">
        <v>25</v>
      </c>
      <c r="H555">
        <v>42</v>
      </c>
      <c r="I555" t="s">
        <v>101</v>
      </c>
      <c r="J555">
        <v>1</v>
      </c>
      <c r="K555" s="4">
        <v>292104.82</v>
      </c>
      <c r="L555" s="4">
        <v>292104.82</v>
      </c>
    </row>
    <row r="556" spans="2:12" ht="12.75">
      <c r="B556" t="str">
        <f t="shared" si="32"/>
        <v>7435</v>
      </c>
      <c r="C556" t="s">
        <v>27</v>
      </c>
      <c r="D556">
        <v>402608</v>
      </c>
      <c r="E556" t="s">
        <v>178</v>
      </c>
      <c r="F556">
        <v>410003</v>
      </c>
      <c r="G556" t="s">
        <v>125</v>
      </c>
      <c r="H556">
        <v>41</v>
      </c>
      <c r="I556" t="s">
        <v>14</v>
      </c>
      <c r="J556">
        <v>1</v>
      </c>
      <c r="K556" s="4">
        <v>50075.11</v>
      </c>
      <c r="L556" s="4">
        <v>50075.11</v>
      </c>
    </row>
    <row r="557" spans="2:12" ht="12.75">
      <c r="B557" t="str">
        <f t="shared" si="32"/>
        <v>7435</v>
      </c>
      <c r="C557" t="s">
        <v>27</v>
      </c>
      <c r="D557">
        <v>402608</v>
      </c>
      <c r="E557" t="s">
        <v>178</v>
      </c>
      <c r="F557">
        <v>420004</v>
      </c>
      <c r="G557" t="s">
        <v>25</v>
      </c>
      <c r="H557">
        <v>42</v>
      </c>
      <c r="I557" t="s">
        <v>101</v>
      </c>
      <c r="J557">
        <v>1</v>
      </c>
      <c r="K557" s="4">
        <v>83458.52</v>
      </c>
      <c r="L557" s="4">
        <v>83458.52</v>
      </c>
    </row>
    <row r="558" spans="2:12" ht="12.75">
      <c r="B558" t="str">
        <f t="shared" si="32"/>
        <v>7435</v>
      </c>
      <c r="C558" t="s">
        <v>27</v>
      </c>
      <c r="D558">
        <v>402608</v>
      </c>
      <c r="E558" t="s">
        <v>178</v>
      </c>
      <c r="F558">
        <v>430001</v>
      </c>
      <c r="G558" t="s">
        <v>224</v>
      </c>
      <c r="H558">
        <v>43</v>
      </c>
      <c r="I558" t="s">
        <v>56</v>
      </c>
      <c r="J558">
        <v>1</v>
      </c>
      <c r="K558" s="4">
        <v>187781.67</v>
      </c>
      <c r="L558" s="4">
        <v>187781.67</v>
      </c>
    </row>
    <row r="559" spans="2:12" ht="12.75">
      <c r="B559" t="str">
        <f t="shared" si="32"/>
        <v>7435</v>
      </c>
      <c r="C559" t="s">
        <v>27</v>
      </c>
      <c r="D559">
        <v>402608</v>
      </c>
      <c r="E559" t="s">
        <v>178</v>
      </c>
      <c r="F559">
        <v>430001</v>
      </c>
      <c r="G559" t="s">
        <v>224</v>
      </c>
      <c r="H559">
        <v>43</v>
      </c>
      <c r="I559" t="s">
        <v>56</v>
      </c>
      <c r="J559">
        <v>1</v>
      </c>
      <c r="K559" s="4">
        <v>12518.78</v>
      </c>
      <c r="L559" s="4">
        <v>12518.78</v>
      </c>
    </row>
    <row r="560" spans="2:12" ht="12.75">
      <c r="B560" t="str">
        <f t="shared" si="32"/>
        <v>7435</v>
      </c>
      <c r="C560" t="s">
        <v>27</v>
      </c>
      <c r="D560">
        <v>402608</v>
      </c>
      <c r="E560" t="s">
        <v>178</v>
      </c>
      <c r="F560">
        <v>430001</v>
      </c>
      <c r="G560" t="s">
        <v>224</v>
      </c>
      <c r="H560">
        <v>43</v>
      </c>
      <c r="I560" t="s">
        <v>56</v>
      </c>
      <c r="J560">
        <v>1</v>
      </c>
      <c r="K560" s="4">
        <v>43815.72</v>
      </c>
      <c r="L560" s="4">
        <v>43815.72</v>
      </c>
    </row>
    <row r="561" spans="2:12" ht="12.75">
      <c r="B561" t="str">
        <f t="shared" si="32"/>
        <v>7435</v>
      </c>
      <c r="C561" t="s">
        <v>27</v>
      </c>
      <c r="D561">
        <v>402941</v>
      </c>
      <c r="E561" t="s">
        <v>98</v>
      </c>
      <c r="F561">
        <v>440001</v>
      </c>
      <c r="G561" t="s">
        <v>192</v>
      </c>
      <c r="H561">
        <v>44</v>
      </c>
      <c r="I561" t="s">
        <v>99</v>
      </c>
      <c r="J561">
        <v>1</v>
      </c>
      <c r="K561" s="4">
        <v>50075.11</v>
      </c>
      <c r="L561" s="4">
        <v>50075.11</v>
      </c>
    </row>
    <row r="562" spans="2:12" ht="12.75">
      <c r="B562" t="str">
        <f t="shared" si="32"/>
        <v>7435</v>
      </c>
      <c r="C562" t="s">
        <v>27</v>
      </c>
      <c r="D562">
        <v>402941</v>
      </c>
      <c r="E562" t="s">
        <v>98</v>
      </c>
      <c r="F562">
        <v>440002</v>
      </c>
      <c r="G562" t="s">
        <v>155</v>
      </c>
      <c r="H562">
        <v>44</v>
      </c>
      <c r="I562" t="s">
        <v>99</v>
      </c>
      <c r="J562">
        <v>1</v>
      </c>
      <c r="K562" s="4">
        <v>54248.04</v>
      </c>
      <c r="L562" s="4">
        <v>54248.04</v>
      </c>
    </row>
    <row r="563" spans="2:12" ht="12.75">
      <c r="B563" t="str">
        <f t="shared" si="32"/>
        <v>7435</v>
      </c>
      <c r="C563" t="s">
        <v>27</v>
      </c>
      <c r="D563">
        <v>420202</v>
      </c>
      <c r="E563" t="s">
        <v>19</v>
      </c>
      <c r="F563">
        <v>10001</v>
      </c>
      <c r="G563" t="s">
        <v>48</v>
      </c>
      <c r="H563">
        <v>1</v>
      </c>
      <c r="I563" t="s">
        <v>21</v>
      </c>
      <c r="J563">
        <v>250</v>
      </c>
      <c r="K563" s="4">
        <v>834.56</v>
      </c>
      <c r="L563" s="4">
        <v>208640</v>
      </c>
    </row>
    <row r="564" spans="2:12" ht="12.75">
      <c r="B564" t="str">
        <f t="shared" si="32"/>
        <v>7435</v>
      </c>
      <c r="C564" t="s">
        <v>27</v>
      </c>
      <c r="D564">
        <v>420202</v>
      </c>
      <c r="E564" t="s">
        <v>19</v>
      </c>
      <c r="F564">
        <v>20002</v>
      </c>
      <c r="G564" t="s">
        <v>58</v>
      </c>
      <c r="H564">
        <v>2</v>
      </c>
      <c r="I564" t="s">
        <v>30</v>
      </c>
      <c r="J564">
        <v>30</v>
      </c>
      <c r="K564" s="4">
        <v>1877.82</v>
      </c>
      <c r="L564" s="4">
        <v>56334.6</v>
      </c>
    </row>
    <row r="565" spans="2:12" ht="12.75">
      <c r="B565" t="str">
        <f t="shared" si="32"/>
        <v>7435</v>
      </c>
      <c r="C565" t="s">
        <v>27</v>
      </c>
      <c r="D565">
        <v>420202</v>
      </c>
      <c r="E565" t="s">
        <v>19</v>
      </c>
      <c r="F565">
        <v>40001</v>
      </c>
      <c r="G565" t="s">
        <v>59</v>
      </c>
      <c r="H565">
        <v>4</v>
      </c>
      <c r="I565" t="s">
        <v>23</v>
      </c>
      <c r="J565">
        <v>257</v>
      </c>
      <c r="K565" s="4">
        <v>208.65</v>
      </c>
      <c r="L565" s="4">
        <v>53623.05</v>
      </c>
    </row>
    <row r="566" spans="2:12" ht="12.75">
      <c r="B566" t="str">
        <f t="shared" si="32"/>
        <v>7435</v>
      </c>
      <c r="C566" t="s">
        <v>27</v>
      </c>
      <c r="D566">
        <v>420202</v>
      </c>
      <c r="E566" t="s">
        <v>19</v>
      </c>
      <c r="F566">
        <v>60002</v>
      </c>
      <c r="G566" t="s">
        <v>31</v>
      </c>
      <c r="H566">
        <v>6</v>
      </c>
      <c r="I566" t="s">
        <v>32</v>
      </c>
      <c r="J566">
        <v>50</v>
      </c>
      <c r="K566" s="4">
        <v>1043.23</v>
      </c>
      <c r="L566" s="4">
        <v>52161.5</v>
      </c>
    </row>
    <row r="567" spans="2:12" ht="12.75">
      <c r="B567" t="str">
        <f t="shared" si="32"/>
        <v>7435</v>
      </c>
      <c r="C567" t="s">
        <v>27</v>
      </c>
      <c r="D567">
        <v>420202</v>
      </c>
      <c r="E567" t="s">
        <v>19</v>
      </c>
      <c r="F567">
        <v>60002</v>
      </c>
      <c r="G567" t="s">
        <v>31</v>
      </c>
      <c r="H567">
        <v>6</v>
      </c>
      <c r="I567" t="s">
        <v>32</v>
      </c>
      <c r="J567">
        <v>20</v>
      </c>
      <c r="K567" s="4">
        <v>2086.46</v>
      </c>
      <c r="L567" s="4">
        <v>41729.2</v>
      </c>
    </row>
    <row r="568" spans="2:12" ht="12.75">
      <c r="B568" t="str">
        <f t="shared" si="32"/>
        <v>7435</v>
      </c>
      <c r="C568" t="s">
        <v>27</v>
      </c>
      <c r="D568">
        <v>420202</v>
      </c>
      <c r="E568" t="s">
        <v>19</v>
      </c>
      <c r="F568">
        <v>70003</v>
      </c>
      <c r="G568" t="s">
        <v>73</v>
      </c>
      <c r="H568">
        <v>7</v>
      </c>
      <c r="I568" t="s">
        <v>74</v>
      </c>
      <c r="J568">
        <v>20</v>
      </c>
      <c r="K568" s="4">
        <v>1251.88</v>
      </c>
      <c r="L568" s="4">
        <v>25037.6</v>
      </c>
    </row>
    <row r="569" spans="2:12" ht="12.75">
      <c r="B569" t="str">
        <f t="shared" si="32"/>
        <v>7435</v>
      </c>
      <c r="C569" t="s">
        <v>27</v>
      </c>
      <c r="D569">
        <v>420202</v>
      </c>
      <c r="E569" t="s">
        <v>19</v>
      </c>
      <c r="F569">
        <v>170009</v>
      </c>
      <c r="G569" t="s">
        <v>25</v>
      </c>
      <c r="H569">
        <v>17</v>
      </c>
      <c r="I569" t="s">
        <v>116</v>
      </c>
      <c r="J569">
        <v>1</v>
      </c>
      <c r="K569" s="4">
        <v>25037.56</v>
      </c>
      <c r="L569" s="4">
        <v>25037.56</v>
      </c>
    </row>
    <row r="570" spans="2:12" ht="12.75">
      <c r="B570" t="str">
        <f t="shared" si="32"/>
        <v>7435</v>
      </c>
      <c r="C570" t="s">
        <v>27</v>
      </c>
      <c r="D570">
        <v>420202</v>
      </c>
      <c r="E570" t="s">
        <v>19</v>
      </c>
      <c r="F570">
        <v>250001</v>
      </c>
      <c r="G570" t="s">
        <v>225</v>
      </c>
      <c r="H570">
        <v>25</v>
      </c>
      <c r="I570" t="s">
        <v>120</v>
      </c>
      <c r="J570">
        <v>20</v>
      </c>
      <c r="K570" s="4">
        <v>1043.23</v>
      </c>
      <c r="L570" s="4">
        <v>20864.6</v>
      </c>
    </row>
    <row r="571" spans="2:12" ht="12.75">
      <c r="B571" t="str">
        <f t="shared" si="32"/>
        <v>7435</v>
      </c>
      <c r="C571" t="s">
        <v>27</v>
      </c>
      <c r="D571">
        <v>420202</v>
      </c>
      <c r="E571" t="s">
        <v>19</v>
      </c>
      <c r="F571">
        <v>270005</v>
      </c>
      <c r="G571" t="s">
        <v>226</v>
      </c>
      <c r="H571">
        <v>27</v>
      </c>
      <c r="I571" t="s">
        <v>227</v>
      </c>
      <c r="J571">
        <v>50</v>
      </c>
      <c r="K571" s="4">
        <v>1669.17</v>
      </c>
      <c r="L571" s="4">
        <v>83458.5</v>
      </c>
    </row>
    <row r="572" spans="2:12" ht="12.75">
      <c r="B572" t="str">
        <f t="shared" si="32"/>
        <v>7435</v>
      </c>
      <c r="C572" t="s">
        <v>27</v>
      </c>
      <c r="D572">
        <v>420202</v>
      </c>
      <c r="E572" t="s">
        <v>19</v>
      </c>
      <c r="F572">
        <v>300001</v>
      </c>
      <c r="G572" t="s">
        <v>25</v>
      </c>
      <c r="H572">
        <v>30</v>
      </c>
      <c r="I572" t="s">
        <v>94</v>
      </c>
      <c r="J572">
        <v>1</v>
      </c>
      <c r="K572" s="4">
        <v>33383.41</v>
      </c>
      <c r="L572" s="4">
        <v>33383.41</v>
      </c>
    </row>
    <row r="573" spans="2:12" ht="12.75">
      <c r="B573" t="str">
        <f t="shared" si="32"/>
        <v>7435</v>
      </c>
      <c r="C573" t="s">
        <v>27</v>
      </c>
      <c r="D573">
        <v>420202</v>
      </c>
      <c r="E573" t="s">
        <v>19</v>
      </c>
      <c r="F573">
        <v>300001</v>
      </c>
      <c r="G573" t="s">
        <v>25</v>
      </c>
      <c r="H573">
        <v>30</v>
      </c>
      <c r="I573" t="s">
        <v>94</v>
      </c>
      <c r="J573">
        <v>10</v>
      </c>
      <c r="K573" s="4">
        <v>29210.48</v>
      </c>
      <c r="L573" s="4">
        <v>292104.8</v>
      </c>
    </row>
    <row r="574" spans="2:12" ht="12.75">
      <c r="B574" t="str">
        <f t="shared" si="32"/>
        <v>7435</v>
      </c>
      <c r="C574" t="s">
        <v>27</v>
      </c>
      <c r="D574">
        <v>420202</v>
      </c>
      <c r="E574" t="s">
        <v>19</v>
      </c>
      <c r="F574">
        <v>300001</v>
      </c>
      <c r="G574" t="s">
        <v>25</v>
      </c>
      <c r="H574">
        <v>30</v>
      </c>
      <c r="I574" t="s">
        <v>94</v>
      </c>
      <c r="J574">
        <v>1</v>
      </c>
      <c r="K574" s="4">
        <v>83458.52</v>
      </c>
      <c r="L574" s="4">
        <v>83458.52</v>
      </c>
    </row>
    <row r="575" spans="2:12" ht="12.75">
      <c r="B575" t="str">
        <f t="shared" si="32"/>
        <v>7435</v>
      </c>
      <c r="C575" t="s">
        <v>27</v>
      </c>
      <c r="D575">
        <v>420222</v>
      </c>
      <c r="E575" t="s">
        <v>60</v>
      </c>
      <c r="F575">
        <v>230003</v>
      </c>
      <c r="G575" t="s">
        <v>25</v>
      </c>
      <c r="H575">
        <v>23</v>
      </c>
      <c r="I575" t="s">
        <v>143</v>
      </c>
      <c r="J575">
        <v>7</v>
      </c>
      <c r="K575" s="4">
        <v>6050.74</v>
      </c>
      <c r="L575" s="4">
        <v>42355.18</v>
      </c>
    </row>
    <row r="576" spans="2:12" ht="12.75">
      <c r="B576" t="str">
        <f t="shared" si="32"/>
        <v>7435</v>
      </c>
      <c r="C576" t="s">
        <v>27</v>
      </c>
      <c r="D576">
        <v>420238</v>
      </c>
      <c r="E576" t="s">
        <v>34</v>
      </c>
      <c r="F576">
        <v>150003</v>
      </c>
      <c r="G576" t="s">
        <v>228</v>
      </c>
      <c r="H576">
        <v>15</v>
      </c>
      <c r="I576" t="s">
        <v>229</v>
      </c>
      <c r="J576">
        <v>10</v>
      </c>
      <c r="K576" s="4">
        <v>7093.97</v>
      </c>
      <c r="L576" s="4">
        <v>70939.7</v>
      </c>
    </row>
    <row r="577" spans="2:12" ht="12.75">
      <c r="B577" t="str">
        <f t="shared" si="32"/>
        <v>7435</v>
      </c>
      <c r="C577" t="s">
        <v>27</v>
      </c>
      <c r="D577">
        <v>420238</v>
      </c>
      <c r="E577" t="s">
        <v>34</v>
      </c>
      <c r="F577">
        <v>300001</v>
      </c>
      <c r="G577" t="s">
        <v>25</v>
      </c>
      <c r="H577">
        <v>30</v>
      </c>
      <c r="I577" t="s">
        <v>94</v>
      </c>
      <c r="J577">
        <v>1</v>
      </c>
      <c r="K577" s="4">
        <v>54060.3</v>
      </c>
      <c r="L577" s="4">
        <v>54060.3</v>
      </c>
    </row>
    <row r="578" spans="2:12" ht="12.75">
      <c r="B578" t="str">
        <f t="shared" si="32"/>
        <v>7435</v>
      </c>
      <c r="C578" t="s">
        <v>27</v>
      </c>
      <c r="D578">
        <v>420248</v>
      </c>
      <c r="E578" t="s">
        <v>36</v>
      </c>
      <c r="F578">
        <v>120003</v>
      </c>
      <c r="G578" t="s">
        <v>37</v>
      </c>
      <c r="H578">
        <v>12</v>
      </c>
      <c r="I578" t="s">
        <v>38</v>
      </c>
      <c r="J578">
        <v>1</v>
      </c>
      <c r="K578" s="4">
        <v>20864.63</v>
      </c>
      <c r="L578" s="4">
        <v>20864.63</v>
      </c>
    </row>
    <row r="579" spans="2:12" ht="12.75">
      <c r="B579" t="str">
        <f t="shared" si="32"/>
        <v>7435</v>
      </c>
      <c r="C579" t="s">
        <v>27</v>
      </c>
      <c r="D579">
        <v>420248</v>
      </c>
      <c r="E579" t="s">
        <v>36</v>
      </c>
      <c r="F579">
        <v>130006</v>
      </c>
      <c r="G579" t="s">
        <v>230</v>
      </c>
      <c r="H579">
        <v>13</v>
      </c>
      <c r="I579" t="s">
        <v>137</v>
      </c>
      <c r="J579">
        <v>1</v>
      </c>
      <c r="K579" s="4">
        <v>83458.52</v>
      </c>
      <c r="L579" s="4">
        <v>83458.52</v>
      </c>
    </row>
    <row r="580" spans="2:12" ht="12.75">
      <c r="B580" t="str">
        <f t="shared" si="32"/>
        <v>7435</v>
      </c>
      <c r="C580" t="s">
        <v>27</v>
      </c>
      <c r="D580">
        <v>420248</v>
      </c>
      <c r="E580" t="s">
        <v>36</v>
      </c>
      <c r="F580">
        <v>290018</v>
      </c>
      <c r="G580" t="s">
        <v>25</v>
      </c>
      <c r="H580">
        <v>29</v>
      </c>
      <c r="I580" t="s">
        <v>142</v>
      </c>
      <c r="J580">
        <v>1</v>
      </c>
      <c r="K580" s="4">
        <v>58713.07</v>
      </c>
      <c r="L580" s="4">
        <v>58713.07</v>
      </c>
    </row>
    <row r="581" spans="2:12" ht="12.75">
      <c r="B581" t="str">
        <f t="shared" si="32"/>
        <v>7435</v>
      </c>
      <c r="C581" t="s">
        <v>27</v>
      </c>
      <c r="D581">
        <v>420248</v>
      </c>
      <c r="E581" t="s">
        <v>36</v>
      </c>
      <c r="F581">
        <v>360012</v>
      </c>
      <c r="G581" t="s">
        <v>231</v>
      </c>
      <c r="H581">
        <v>36</v>
      </c>
      <c r="I581" t="s">
        <v>124</v>
      </c>
      <c r="J581">
        <v>1</v>
      </c>
      <c r="K581" s="4">
        <v>83458.52</v>
      </c>
      <c r="L581" s="4">
        <v>83458.52</v>
      </c>
    </row>
    <row r="582" spans="2:12" ht="12.75">
      <c r="B582" t="str">
        <f t="shared" si="32"/>
        <v>7435</v>
      </c>
      <c r="C582" t="s">
        <v>27</v>
      </c>
      <c r="D582">
        <v>420249</v>
      </c>
      <c r="E582" t="s">
        <v>39</v>
      </c>
      <c r="F582">
        <v>290001</v>
      </c>
      <c r="G582" t="s">
        <v>207</v>
      </c>
      <c r="H582">
        <v>29</v>
      </c>
      <c r="I582" t="s">
        <v>142</v>
      </c>
      <c r="J582">
        <v>10</v>
      </c>
      <c r="K582" s="4">
        <v>2921.05</v>
      </c>
      <c r="L582" s="4">
        <v>29210.5</v>
      </c>
    </row>
    <row r="583" spans="2:12" ht="12.75">
      <c r="B583" t="str">
        <f t="shared" si="32"/>
        <v>7435</v>
      </c>
      <c r="C583" t="s">
        <v>27</v>
      </c>
      <c r="D583">
        <v>420703</v>
      </c>
      <c r="E583" t="s">
        <v>51</v>
      </c>
      <c r="F583">
        <v>310007</v>
      </c>
      <c r="G583" t="s">
        <v>82</v>
      </c>
      <c r="H583">
        <v>31</v>
      </c>
      <c r="I583" t="s">
        <v>26</v>
      </c>
      <c r="J583">
        <v>10</v>
      </c>
      <c r="K583" s="4">
        <v>667.67</v>
      </c>
      <c r="L583" s="4">
        <v>6676.7</v>
      </c>
    </row>
    <row r="584" spans="2:12" ht="12.75">
      <c r="B584" t="str">
        <f t="shared" si="32"/>
        <v>7435</v>
      </c>
      <c r="C584" t="s">
        <v>27</v>
      </c>
      <c r="D584">
        <v>420703</v>
      </c>
      <c r="E584" t="s">
        <v>51</v>
      </c>
      <c r="F584">
        <v>310007</v>
      </c>
      <c r="G584" t="s">
        <v>82</v>
      </c>
      <c r="H584">
        <v>31</v>
      </c>
      <c r="I584" t="s">
        <v>26</v>
      </c>
      <c r="J584">
        <v>400</v>
      </c>
      <c r="K584" s="4">
        <v>29.21</v>
      </c>
      <c r="L584" s="4">
        <v>11684</v>
      </c>
    </row>
    <row r="585" spans="2:12" ht="12.75">
      <c r="B585" t="str">
        <f t="shared" si="32"/>
        <v>7435</v>
      </c>
      <c r="C585" t="s">
        <v>27</v>
      </c>
      <c r="D585">
        <v>420703</v>
      </c>
      <c r="E585" t="s">
        <v>51</v>
      </c>
      <c r="F585">
        <v>310007</v>
      </c>
      <c r="G585" t="s">
        <v>82</v>
      </c>
      <c r="H585">
        <v>31</v>
      </c>
      <c r="I585" t="s">
        <v>26</v>
      </c>
      <c r="J585">
        <v>1</v>
      </c>
      <c r="K585" s="4">
        <v>62593.89</v>
      </c>
      <c r="L585" s="4">
        <v>62593.89</v>
      </c>
    </row>
    <row r="586" spans="2:12" ht="12.75">
      <c r="B586" t="str">
        <f aca="true" t="shared" si="33" ref="B586:B606">"7435"</f>
        <v>7435</v>
      </c>
      <c r="C586" t="s">
        <v>27</v>
      </c>
      <c r="D586">
        <v>420703</v>
      </c>
      <c r="E586" t="s">
        <v>51</v>
      </c>
      <c r="F586">
        <v>310007</v>
      </c>
      <c r="G586" t="s">
        <v>82</v>
      </c>
      <c r="H586">
        <v>31</v>
      </c>
      <c r="I586" t="s">
        <v>26</v>
      </c>
      <c r="J586">
        <v>1</v>
      </c>
      <c r="K586" s="4">
        <v>41729.26</v>
      </c>
      <c r="L586" s="4">
        <v>41729.26</v>
      </c>
    </row>
    <row r="587" spans="2:12" ht="12.75">
      <c r="B587" t="str">
        <f t="shared" si="33"/>
        <v>7435</v>
      </c>
      <c r="C587" t="s">
        <v>27</v>
      </c>
      <c r="D587">
        <v>420703</v>
      </c>
      <c r="E587" t="s">
        <v>51</v>
      </c>
      <c r="F587">
        <v>310007</v>
      </c>
      <c r="G587" t="s">
        <v>82</v>
      </c>
      <c r="H587">
        <v>31</v>
      </c>
      <c r="I587" t="s">
        <v>26</v>
      </c>
      <c r="J587">
        <v>200</v>
      </c>
      <c r="K587" s="4">
        <v>358.87</v>
      </c>
      <c r="L587" s="4">
        <v>71774</v>
      </c>
    </row>
    <row r="588" spans="2:12" ht="12.75">
      <c r="B588" t="str">
        <f t="shared" si="33"/>
        <v>7435</v>
      </c>
      <c r="C588" t="s">
        <v>27</v>
      </c>
      <c r="D588">
        <v>420703</v>
      </c>
      <c r="E588" t="s">
        <v>51</v>
      </c>
      <c r="F588">
        <v>310007</v>
      </c>
      <c r="G588" t="s">
        <v>82</v>
      </c>
      <c r="H588">
        <v>31</v>
      </c>
      <c r="I588" t="s">
        <v>26</v>
      </c>
      <c r="J588">
        <v>200</v>
      </c>
      <c r="K588" s="4">
        <v>99.11</v>
      </c>
      <c r="L588" s="4">
        <v>19822</v>
      </c>
    </row>
    <row r="589" spans="2:12" ht="12.75">
      <c r="B589" t="str">
        <f t="shared" si="33"/>
        <v>7435</v>
      </c>
      <c r="C589" t="s">
        <v>27</v>
      </c>
      <c r="D589">
        <v>420703</v>
      </c>
      <c r="E589" t="s">
        <v>51</v>
      </c>
      <c r="F589">
        <v>310007</v>
      </c>
      <c r="G589" t="s">
        <v>82</v>
      </c>
      <c r="H589">
        <v>31</v>
      </c>
      <c r="I589" t="s">
        <v>26</v>
      </c>
      <c r="J589">
        <v>200</v>
      </c>
      <c r="K589" s="4">
        <v>29.21</v>
      </c>
      <c r="L589" s="4">
        <v>5842</v>
      </c>
    </row>
    <row r="590" spans="2:12" ht="12.75">
      <c r="B590" t="str">
        <f t="shared" si="33"/>
        <v>7435</v>
      </c>
      <c r="C590" t="s">
        <v>27</v>
      </c>
      <c r="D590">
        <v>420703</v>
      </c>
      <c r="E590" t="s">
        <v>51</v>
      </c>
      <c r="F590">
        <v>310007</v>
      </c>
      <c r="G590" t="s">
        <v>82</v>
      </c>
      <c r="H590">
        <v>31</v>
      </c>
      <c r="I590" t="s">
        <v>26</v>
      </c>
      <c r="J590">
        <v>1</v>
      </c>
      <c r="K590" s="4">
        <v>83458.52</v>
      </c>
      <c r="L590" s="4">
        <v>83458.52</v>
      </c>
    </row>
    <row r="591" spans="2:12" ht="12.75">
      <c r="B591" t="str">
        <f t="shared" si="33"/>
        <v>7435</v>
      </c>
      <c r="C591" t="s">
        <v>27</v>
      </c>
      <c r="D591">
        <v>420704</v>
      </c>
      <c r="E591" t="s">
        <v>24</v>
      </c>
      <c r="F591">
        <v>370001</v>
      </c>
      <c r="G591" t="s">
        <v>133</v>
      </c>
      <c r="H591">
        <v>37</v>
      </c>
      <c r="I591" t="s">
        <v>134</v>
      </c>
      <c r="J591">
        <v>1</v>
      </c>
      <c r="K591" s="4">
        <v>62593.89</v>
      </c>
      <c r="L591" s="4">
        <v>62593.89</v>
      </c>
    </row>
    <row r="592" spans="2:12" ht="12.75">
      <c r="B592" t="str">
        <f t="shared" si="33"/>
        <v>7435</v>
      </c>
      <c r="C592" t="s">
        <v>27</v>
      </c>
      <c r="D592">
        <v>420704</v>
      </c>
      <c r="E592" t="s">
        <v>24</v>
      </c>
      <c r="F592">
        <v>370001</v>
      </c>
      <c r="G592" t="s">
        <v>133</v>
      </c>
      <c r="H592">
        <v>37</v>
      </c>
      <c r="I592" t="s">
        <v>134</v>
      </c>
      <c r="J592">
        <v>1</v>
      </c>
      <c r="K592" s="4">
        <v>166917.04</v>
      </c>
      <c r="L592" s="4">
        <v>166917.04</v>
      </c>
    </row>
    <row r="593" spans="2:12" ht="12.75">
      <c r="B593" t="str">
        <f t="shared" si="33"/>
        <v>7435</v>
      </c>
      <c r="C593" t="s">
        <v>27</v>
      </c>
      <c r="D593">
        <v>420704</v>
      </c>
      <c r="E593" t="s">
        <v>24</v>
      </c>
      <c r="F593">
        <v>370001</v>
      </c>
      <c r="G593" t="s">
        <v>133</v>
      </c>
      <c r="H593">
        <v>37</v>
      </c>
      <c r="I593" t="s">
        <v>134</v>
      </c>
      <c r="J593">
        <v>1</v>
      </c>
      <c r="K593" s="4">
        <v>83458.52</v>
      </c>
      <c r="L593" s="4">
        <v>83458.52</v>
      </c>
    </row>
    <row r="594" spans="2:12" ht="12.75">
      <c r="B594" t="str">
        <f t="shared" si="33"/>
        <v>7435</v>
      </c>
      <c r="C594" t="s">
        <v>27</v>
      </c>
      <c r="D594">
        <v>420704</v>
      </c>
      <c r="E594" t="s">
        <v>24</v>
      </c>
      <c r="F594">
        <v>370001</v>
      </c>
      <c r="G594" t="s">
        <v>133</v>
      </c>
      <c r="H594">
        <v>37</v>
      </c>
      <c r="I594" t="s">
        <v>134</v>
      </c>
      <c r="J594">
        <v>1</v>
      </c>
      <c r="K594" s="4">
        <v>41729.26</v>
      </c>
      <c r="L594" s="4">
        <v>41729.26</v>
      </c>
    </row>
    <row r="595" spans="2:12" ht="12.75">
      <c r="B595" t="str">
        <f t="shared" si="33"/>
        <v>7435</v>
      </c>
      <c r="C595" t="s">
        <v>27</v>
      </c>
      <c r="D595">
        <v>420704</v>
      </c>
      <c r="E595" t="s">
        <v>24</v>
      </c>
      <c r="F595">
        <v>370001</v>
      </c>
      <c r="G595" t="s">
        <v>133</v>
      </c>
      <c r="H595">
        <v>37</v>
      </c>
      <c r="I595" t="s">
        <v>134</v>
      </c>
      <c r="J595">
        <v>1</v>
      </c>
      <c r="K595" s="4">
        <v>20864.63</v>
      </c>
      <c r="L595" s="4">
        <v>20864.63</v>
      </c>
    </row>
    <row r="596" spans="2:12" ht="12.75">
      <c r="B596" t="str">
        <f t="shared" si="33"/>
        <v>7435</v>
      </c>
      <c r="C596" t="s">
        <v>27</v>
      </c>
      <c r="D596">
        <v>420704</v>
      </c>
      <c r="E596" t="s">
        <v>24</v>
      </c>
      <c r="F596">
        <v>370001</v>
      </c>
      <c r="G596" t="s">
        <v>133</v>
      </c>
      <c r="H596">
        <v>37</v>
      </c>
      <c r="I596" t="s">
        <v>134</v>
      </c>
      <c r="J596">
        <v>1</v>
      </c>
      <c r="K596" s="4">
        <v>50075.11</v>
      </c>
      <c r="L596" s="4">
        <v>50075.11</v>
      </c>
    </row>
    <row r="597" spans="2:12" ht="12.75">
      <c r="B597" t="str">
        <f t="shared" si="33"/>
        <v>7435</v>
      </c>
      <c r="C597" t="s">
        <v>27</v>
      </c>
      <c r="D597">
        <v>420704</v>
      </c>
      <c r="E597" t="s">
        <v>24</v>
      </c>
      <c r="F597">
        <v>370001</v>
      </c>
      <c r="G597" t="s">
        <v>133</v>
      </c>
      <c r="H597">
        <v>37</v>
      </c>
      <c r="I597" t="s">
        <v>134</v>
      </c>
      <c r="J597">
        <v>1</v>
      </c>
      <c r="K597" s="4">
        <v>41729.26</v>
      </c>
      <c r="L597" s="4">
        <v>41729.26</v>
      </c>
    </row>
    <row r="598" spans="2:12" ht="12.75">
      <c r="B598" t="str">
        <f t="shared" si="33"/>
        <v>7435</v>
      </c>
      <c r="C598" t="s">
        <v>27</v>
      </c>
      <c r="D598">
        <v>420704</v>
      </c>
      <c r="E598" t="s">
        <v>24</v>
      </c>
      <c r="F598">
        <v>370001</v>
      </c>
      <c r="G598" t="s">
        <v>133</v>
      </c>
      <c r="H598">
        <v>37</v>
      </c>
      <c r="I598" t="s">
        <v>134</v>
      </c>
      <c r="J598">
        <v>1</v>
      </c>
      <c r="K598" s="4">
        <v>41729.26</v>
      </c>
      <c r="L598" s="4">
        <v>41729.26</v>
      </c>
    </row>
    <row r="599" spans="2:12" ht="12.75">
      <c r="B599" t="str">
        <f t="shared" si="33"/>
        <v>7435</v>
      </c>
      <c r="C599" t="s">
        <v>27</v>
      </c>
      <c r="D599">
        <v>420704</v>
      </c>
      <c r="E599" t="s">
        <v>24</v>
      </c>
      <c r="F599">
        <v>370001</v>
      </c>
      <c r="G599" t="s">
        <v>133</v>
      </c>
      <c r="H599">
        <v>37</v>
      </c>
      <c r="I599" t="s">
        <v>134</v>
      </c>
      <c r="J599">
        <v>1</v>
      </c>
      <c r="K599" s="4">
        <v>104323.15</v>
      </c>
      <c r="L599" s="4">
        <v>104323.15</v>
      </c>
    </row>
    <row r="600" spans="2:12" ht="12.75">
      <c r="B600" t="str">
        <f t="shared" si="33"/>
        <v>7435</v>
      </c>
      <c r="C600" t="s">
        <v>27</v>
      </c>
      <c r="D600">
        <v>420704</v>
      </c>
      <c r="E600" t="s">
        <v>24</v>
      </c>
      <c r="F600">
        <v>370001</v>
      </c>
      <c r="G600" t="s">
        <v>133</v>
      </c>
      <c r="H600">
        <v>37</v>
      </c>
      <c r="I600" t="s">
        <v>134</v>
      </c>
      <c r="J600">
        <v>1</v>
      </c>
      <c r="K600" s="4">
        <v>29210.48</v>
      </c>
      <c r="L600" s="4">
        <v>29210.48</v>
      </c>
    </row>
    <row r="601" spans="2:12" ht="12.75">
      <c r="B601" t="str">
        <f t="shared" si="33"/>
        <v>7435</v>
      </c>
      <c r="C601" t="s">
        <v>27</v>
      </c>
      <c r="D601">
        <v>420704</v>
      </c>
      <c r="E601" t="s">
        <v>24</v>
      </c>
      <c r="F601">
        <v>370001</v>
      </c>
      <c r="G601" t="s">
        <v>133</v>
      </c>
      <c r="H601">
        <v>37</v>
      </c>
      <c r="I601" t="s">
        <v>134</v>
      </c>
      <c r="J601">
        <v>1</v>
      </c>
      <c r="K601" s="4">
        <v>20864.63</v>
      </c>
      <c r="L601" s="4">
        <v>20864.63</v>
      </c>
    </row>
    <row r="602" spans="2:12" ht="12.75">
      <c r="B602" t="str">
        <f t="shared" si="33"/>
        <v>7435</v>
      </c>
      <c r="C602" t="s">
        <v>27</v>
      </c>
      <c r="D602">
        <v>420704</v>
      </c>
      <c r="E602" t="s">
        <v>24</v>
      </c>
      <c r="F602">
        <v>370001</v>
      </c>
      <c r="G602" t="s">
        <v>133</v>
      </c>
      <c r="H602">
        <v>37</v>
      </c>
      <c r="I602" t="s">
        <v>134</v>
      </c>
      <c r="J602">
        <v>1</v>
      </c>
      <c r="K602" s="4">
        <v>54248.04</v>
      </c>
      <c r="L602" s="4">
        <v>54248.04</v>
      </c>
    </row>
    <row r="603" spans="2:12" ht="12.75">
      <c r="B603" t="str">
        <f t="shared" si="33"/>
        <v>7435</v>
      </c>
      <c r="C603" t="s">
        <v>27</v>
      </c>
      <c r="D603">
        <v>420806</v>
      </c>
      <c r="E603" t="s">
        <v>122</v>
      </c>
      <c r="F603">
        <v>340003</v>
      </c>
      <c r="G603" t="s">
        <v>232</v>
      </c>
      <c r="H603">
        <v>34</v>
      </c>
      <c r="I603" t="s">
        <v>233</v>
      </c>
      <c r="J603">
        <v>1</v>
      </c>
      <c r="K603" s="4">
        <v>12518.78</v>
      </c>
      <c r="L603" s="4">
        <v>12518.78</v>
      </c>
    </row>
    <row r="604" spans="2:12" ht="12.75">
      <c r="B604" t="str">
        <f t="shared" si="33"/>
        <v>7435</v>
      </c>
      <c r="C604" t="s">
        <v>27</v>
      </c>
      <c r="D604">
        <v>420806</v>
      </c>
      <c r="E604" t="s">
        <v>122</v>
      </c>
      <c r="F604">
        <v>360006</v>
      </c>
      <c r="G604" t="s">
        <v>151</v>
      </c>
      <c r="H604">
        <v>36</v>
      </c>
      <c r="I604" t="s">
        <v>124</v>
      </c>
      <c r="J604">
        <v>1</v>
      </c>
      <c r="K604" s="4">
        <v>58420.96</v>
      </c>
      <c r="L604" s="4">
        <v>58420.96</v>
      </c>
    </row>
    <row r="605" spans="2:12" ht="12.75">
      <c r="B605" t="str">
        <f t="shared" si="33"/>
        <v>7435</v>
      </c>
      <c r="C605" t="s">
        <v>27</v>
      </c>
      <c r="D605">
        <v>420806</v>
      </c>
      <c r="E605" t="s">
        <v>122</v>
      </c>
      <c r="F605">
        <v>360012</v>
      </c>
      <c r="G605" t="s">
        <v>231</v>
      </c>
      <c r="H605">
        <v>36</v>
      </c>
      <c r="I605" t="s">
        <v>124</v>
      </c>
      <c r="J605">
        <v>1</v>
      </c>
      <c r="K605" s="4">
        <v>41729.26</v>
      </c>
      <c r="L605" s="4">
        <v>41729.26</v>
      </c>
    </row>
    <row r="606" spans="2:12" ht="12.75">
      <c r="B606" t="str">
        <f t="shared" si="33"/>
        <v>7435</v>
      </c>
      <c r="C606" t="s">
        <v>27</v>
      </c>
      <c r="D606">
        <v>420806</v>
      </c>
      <c r="E606" t="s">
        <v>122</v>
      </c>
      <c r="F606">
        <v>420001</v>
      </c>
      <c r="G606" t="s">
        <v>185</v>
      </c>
      <c r="H606">
        <v>42</v>
      </c>
      <c r="I606" t="s">
        <v>101</v>
      </c>
      <c r="J606">
        <v>1</v>
      </c>
      <c r="K606" s="4">
        <v>33383.41</v>
      </c>
      <c r="L606" s="4">
        <v>33383.41</v>
      </c>
    </row>
    <row r="607" spans="1:2" ht="12.75">
      <c r="A607" t="s">
        <v>47</v>
      </c>
      <c r="B607">
        <f>SUM(L521:L606)</f>
        <v>5339683.569999999</v>
      </c>
    </row>
    <row r="609" ht="12.75">
      <c r="A609" t="str">
        <f>"1911 - Ministrstvo za obrambo, verzija: 1"</f>
        <v>1911 - Ministrstvo za obrambo, verzija: 1</v>
      </c>
    </row>
    <row r="610" spans="2:13" ht="12.75">
      <c r="B610" t="s">
        <v>3</v>
      </c>
      <c r="D610" t="s">
        <v>4</v>
      </c>
      <c r="F610" t="s">
        <v>5</v>
      </c>
      <c r="H610" t="s">
        <v>6</v>
      </c>
      <c r="J610" t="s">
        <v>7</v>
      </c>
      <c r="K610" s="4" t="s">
        <v>8</v>
      </c>
      <c r="L610" s="4" t="s">
        <v>9</v>
      </c>
      <c r="M610" t="s">
        <v>10</v>
      </c>
    </row>
    <row r="611" spans="2:12" ht="12.75">
      <c r="B611" t="str">
        <f>"3333"</f>
        <v>3333</v>
      </c>
      <c r="C611" t="s">
        <v>40</v>
      </c>
      <c r="D611">
        <v>402007</v>
      </c>
      <c r="E611" t="s">
        <v>41</v>
      </c>
      <c r="F611">
        <v>430007</v>
      </c>
      <c r="G611" t="s">
        <v>55</v>
      </c>
      <c r="H611">
        <v>43</v>
      </c>
      <c r="I611" t="s">
        <v>56</v>
      </c>
      <c r="J611">
        <v>1</v>
      </c>
      <c r="K611" s="4">
        <v>44610</v>
      </c>
      <c r="L611" s="4">
        <v>44610</v>
      </c>
    </row>
    <row r="612" spans="2:12" ht="12.75">
      <c r="B612" t="str">
        <f aca="true" t="shared" si="34" ref="B612:B642">"5883"</f>
        <v>5883</v>
      </c>
      <c r="C612" t="s">
        <v>234</v>
      </c>
      <c r="D612">
        <v>402510</v>
      </c>
      <c r="E612" t="s">
        <v>12</v>
      </c>
      <c r="F612">
        <v>350011</v>
      </c>
      <c r="G612" t="s">
        <v>25</v>
      </c>
      <c r="H612">
        <v>35</v>
      </c>
      <c r="I612" t="s">
        <v>17</v>
      </c>
      <c r="J612">
        <v>1</v>
      </c>
      <c r="K612" s="4">
        <v>179047</v>
      </c>
      <c r="L612" s="4">
        <v>179047</v>
      </c>
    </row>
    <row r="613" spans="2:12" ht="12.75">
      <c r="B613" t="str">
        <f t="shared" si="34"/>
        <v>5883</v>
      </c>
      <c r="C613" t="s">
        <v>234</v>
      </c>
      <c r="D613">
        <v>402513</v>
      </c>
      <c r="E613" t="s">
        <v>85</v>
      </c>
      <c r="F613">
        <v>310001</v>
      </c>
      <c r="G613" t="s">
        <v>175</v>
      </c>
      <c r="H613">
        <v>31</v>
      </c>
      <c r="I613" t="s">
        <v>26</v>
      </c>
      <c r="J613">
        <v>1</v>
      </c>
      <c r="K613" s="4">
        <v>69415</v>
      </c>
      <c r="L613" s="4">
        <v>69415</v>
      </c>
    </row>
    <row r="614" spans="2:12" ht="12.75">
      <c r="B614" t="str">
        <f t="shared" si="34"/>
        <v>5883</v>
      </c>
      <c r="C614" t="s">
        <v>234</v>
      </c>
      <c r="D614">
        <v>402514</v>
      </c>
      <c r="E614" t="s">
        <v>45</v>
      </c>
      <c r="F614">
        <v>310007</v>
      </c>
      <c r="G614" t="s">
        <v>82</v>
      </c>
      <c r="H614">
        <v>31</v>
      </c>
      <c r="I614" t="s">
        <v>26</v>
      </c>
      <c r="J614">
        <v>1</v>
      </c>
      <c r="K614" s="4">
        <v>266338</v>
      </c>
      <c r="L614" s="4">
        <v>266338</v>
      </c>
    </row>
    <row r="615" spans="2:12" ht="12.75">
      <c r="B615" t="str">
        <f t="shared" si="34"/>
        <v>5883</v>
      </c>
      <c r="C615" t="s">
        <v>234</v>
      </c>
      <c r="D615">
        <v>402515</v>
      </c>
      <c r="E615" t="s">
        <v>15</v>
      </c>
      <c r="F615">
        <v>350011</v>
      </c>
      <c r="G615" t="s">
        <v>25</v>
      </c>
      <c r="H615">
        <v>35</v>
      </c>
      <c r="I615" t="s">
        <v>17</v>
      </c>
      <c r="J615">
        <v>1</v>
      </c>
      <c r="K615" s="4">
        <v>167637</v>
      </c>
      <c r="L615" s="4">
        <v>167637</v>
      </c>
    </row>
    <row r="616" spans="2:12" ht="12.75">
      <c r="B616" t="str">
        <f t="shared" si="34"/>
        <v>5883</v>
      </c>
      <c r="C616" t="s">
        <v>234</v>
      </c>
      <c r="D616">
        <v>402516</v>
      </c>
      <c r="E616" t="s">
        <v>109</v>
      </c>
      <c r="F616">
        <v>350011</v>
      </c>
      <c r="G616" t="s">
        <v>25</v>
      </c>
      <c r="H616">
        <v>35</v>
      </c>
      <c r="I616" t="s">
        <v>17</v>
      </c>
      <c r="J616">
        <v>1</v>
      </c>
      <c r="K616" s="4">
        <v>45902</v>
      </c>
      <c r="L616" s="4">
        <v>45902</v>
      </c>
    </row>
    <row r="617" spans="2:12" ht="12.75">
      <c r="B617" t="str">
        <f t="shared" si="34"/>
        <v>5883</v>
      </c>
      <c r="C617" t="s">
        <v>234</v>
      </c>
      <c r="D617">
        <v>420202</v>
      </c>
      <c r="E617" t="s">
        <v>19</v>
      </c>
      <c r="F617">
        <v>10002</v>
      </c>
      <c r="G617" t="s">
        <v>20</v>
      </c>
      <c r="H617">
        <v>1</v>
      </c>
      <c r="I617" t="s">
        <v>21</v>
      </c>
      <c r="J617">
        <v>350</v>
      </c>
      <c r="K617" s="4">
        <v>400</v>
      </c>
      <c r="L617" s="4">
        <v>140000</v>
      </c>
    </row>
    <row r="618" spans="2:12" ht="12.75">
      <c r="B618" t="str">
        <f t="shared" si="34"/>
        <v>5883</v>
      </c>
      <c r="C618" t="s">
        <v>234</v>
      </c>
      <c r="D618">
        <v>420202</v>
      </c>
      <c r="E618" t="s">
        <v>19</v>
      </c>
      <c r="F618">
        <v>10003</v>
      </c>
      <c r="G618" t="s">
        <v>28</v>
      </c>
      <c r="H618">
        <v>1</v>
      </c>
      <c r="I618" t="s">
        <v>21</v>
      </c>
      <c r="J618">
        <v>40</v>
      </c>
      <c r="K618" s="4">
        <v>500</v>
      </c>
      <c r="L618" s="4">
        <v>20000</v>
      </c>
    </row>
    <row r="619" spans="2:12" ht="12.75">
      <c r="B619" t="str">
        <f t="shared" si="34"/>
        <v>5883</v>
      </c>
      <c r="C619" t="s">
        <v>234</v>
      </c>
      <c r="D619">
        <v>420202</v>
      </c>
      <c r="E619" t="s">
        <v>19</v>
      </c>
      <c r="F619">
        <v>20001</v>
      </c>
      <c r="G619" t="s">
        <v>29</v>
      </c>
      <c r="H619">
        <v>2</v>
      </c>
      <c r="I619" t="s">
        <v>30</v>
      </c>
      <c r="J619">
        <v>60</v>
      </c>
      <c r="K619" s="4">
        <v>920</v>
      </c>
      <c r="L619" s="4">
        <v>55200</v>
      </c>
    </row>
    <row r="620" spans="2:12" ht="12.75">
      <c r="B620" t="str">
        <f t="shared" si="34"/>
        <v>5883</v>
      </c>
      <c r="C620" t="s">
        <v>234</v>
      </c>
      <c r="D620">
        <v>420202</v>
      </c>
      <c r="E620" t="s">
        <v>19</v>
      </c>
      <c r="F620">
        <v>20002</v>
      </c>
      <c r="G620" t="s">
        <v>58</v>
      </c>
      <c r="H620">
        <v>2</v>
      </c>
      <c r="I620" t="s">
        <v>30</v>
      </c>
      <c r="J620">
        <v>40</v>
      </c>
      <c r="K620" s="4">
        <v>1500</v>
      </c>
      <c r="L620" s="4">
        <v>60000</v>
      </c>
    </row>
    <row r="621" spans="2:12" ht="12.75">
      <c r="B621" t="str">
        <f t="shared" si="34"/>
        <v>5883</v>
      </c>
      <c r="C621" t="s">
        <v>234</v>
      </c>
      <c r="D621">
        <v>420202</v>
      </c>
      <c r="E621" t="s">
        <v>19</v>
      </c>
      <c r="F621">
        <v>30001</v>
      </c>
      <c r="G621" t="s">
        <v>235</v>
      </c>
      <c r="H621">
        <v>3</v>
      </c>
      <c r="I621" t="s">
        <v>78</v>
      </c>
      <c r="J621">
        <v>1</v>
      </c>
      <c r="K621" s="4">
        <v>10086</v>
      </c>
      <c r="L621" s="4">
        <v>10086</v>
      </c>
    </row>
    <row r="622" spans="2:12" ht="12.75">
      <c r="B622" t="str">
        <f t="shared" si="34"/>
        <v>5883</v>
      </c>
      <c r="C622" t="s">
        <v>234</v>
      </c>
      <c r="D622">
        <v>420202</v>
      </c>
      <c r="E622" t="s">
        <v>19</v>
      </c>
      <c r="F622">
        <v>40001</v>
      </c>
      <c r="G622" t="s">
        <v>59</v>
      </c>
      <c r="H622">
        <v>4</v>
      </c>
      <c r="I622" t="s">
        <v>23</v>
      </c>
      <c r="J622">
        <v>230</v>
      </c>
      <c r="K622" s="4">
        <v>200</v>
      </c>
      <c r="L622" s="4">
        <v>46000</v>
      </c>
    </row>
    <row r="623" spans="2:12" ht="12.75">
      <c r="B623" t="str">
        <f t="shared" si="34"/>
        <v>5883</v>
      </c>
      <c r="C623" t="s">
        <v>234</v>
      </c>
      <c r="D623">
        <v>420202</v>
      </c>
      <c r="E623" t="s">
        <v>19</v>
      </c>
      <c r="F623">
        <v>40002</v>
      </c>
      <c r="G623" t="s">
        <v>22</v>
      </c>
      <c r="H623">
        <v>4</v>
      </c>
      <c r="I623" t="s">
        <v>23</v>
      </c>
      <c r="J623">
        <v>50</v>
      </c>
      <c r="K623" s="4">
        <v>220</v>
      </c>
      <c r="L623" s="4">
        <v>11000</v>
      </c>
    </row>
    <row r="624" spans="2:12" ht="12.75">
      <c r="B624" t="str">
        <f t="shared" si="34"/>
        <v>5883</v>
      </c>
      <c r="C624" t="s">
        <v>234</v>
      </c>
      <c r="D624">
        <v>420202</v>
      </c>
      <c r="E624" t="s">
        <v>19</v>
      </c>
      <c r="F624">
        <v>40004</v>
      </c>
      <c r="G624" t="s">
        <v>164</v>
      </c>
      <c r="H624">
        <v>4</v>
      </c>
      <c r="I624" t="s">
        <v>23</v>
      </c>
      <c r="J624">
        <v>20</v>
      </c>
      <c r="K624" s="4">
        <v>270</v>
      </c>
      <c r="L624" s="4">
        <v>5400</v>
      </c>
    </row>
    <row r="625" spans="2:12" ht="12.75">
      <c r="B625" t="str">
        <f t="shared" si="34"/>
        <v>5883</v>
      </c>
      <c r="C625" t="s">
        <v>234</v>
      </c>
      <c r="D625">
        <v>420202</v>
      </c>
      <c r="E625" t="s">
        <v>19</v>
      </c>
      <c r="F625">
        <v>50004</v>
      </c>
      <c r="G625" t="s">
        <v>25</v>
      </c>
      <c r="H625">
        <v>5</v>
      </c>
      <c r="I625" t="s">
        <v>89</v>
      </c>
      <c r="J625">
        <v>30</v>
      </c>
      <c r="K625" s="4">
        <v>750</v>
      </c>
      <c r="L625" s="4">
        <v>22500</v>
      </c>
    </row>
    <row r="626" spans="2:12" ht="12.75">
      <c r="B626" t="str">
        <f t="shared" si="34"/>
        <v>5883</v>
      </c>
      <c r="C626" t="s">
        <v>234</v>
      </c>
      <c r="D626">
        <v>420202</v>
      </c>
      <c r="E626" t="s">
        <v>19</v>
      </c>
      <c r="F626">
        <v>60002</v>
      </c>
      <c r="G626" t="s">
        <v>31</v>
      </c>
      <c r="H626">
        <v>6</v>
      </c>
      <c r="I626" t="s">
        <v>32</v>
      </c>
      <c r="J626">
        <v>50</v>
      </c>
      <c r="K626" s="4">
        <v>350</v>
      </c>
      <c r="L626" s="4">
        <v>17500</v>
      </c>
    </row>
    <row r="627" spans="2:12" ht="12.75">
      <c r="B627" t="str">
        <f t="shared" si="34"/>
        <v>5883</v>
      </c>
      <c r="C627" t="s">
        <v>234</v>
      </c>
      <c r="D627">
        <v>420202</v>
      </c>
      <c r="E627" t="s">
        <v>19</v>
      </c>
      <c r="F627">
        <v>60002</v>
      </c>
      <c r="G627" t="s">
        <v>31</v>
      </c>
      <c r="H627">
        <v>6</v>
      </c>
      <c r="I627" t="s">
        <v>32</v>
      </c>
      <c r="J627">
        <v>50</v>
      </c>
      <c r="K627" s="4">
        <v>1400</v>
      </c>
      <c r="L627" s="4">
        <v>70000</v>
      </c>
    </row>
    <row r="628" spans="2:12" ht="12.75">
      <c r="B628" t="str">
        <f t="shared" si="34"/>
        <v>5883</v>
      </c>
      <c r="C628" t="s">
        <v>234</v>
      </c>
      <c r="D628">
        <v>420202</v>
      </c>
      <c r="E628" t="s">
        <v>19</v>
      </c>
      <c r="F628">
        <v>60002</v>
      </c>
      <c r="G628" t="s">
        <v>31</v>
      </c>
      <c r="H628">
        <v>6</v>
      </c>
      <c r="I628" t="s">
        <v>32</v>
      </c>
      <c r="J628">
        <v>5</v>
      </c>
      <c r="K628" s="4">
        <v>5000</v>
      </c>
      <c r="L628" s="4">
        <v>25000</v>
      </c>
    </row>
    <row r="629" spans="2:12" ht="12.75">
      <c r="B629" t="str">
        <f t="shared" si="34"/>
        <v>5883</v>
      </c>
      <c r="C629" t="s">
        <v>234</v>
      </c>
      <c r="D629">
        <v>420202</v>
      </c>
      <c r="E629" t="s">
        <v>19</v>
      </c>
      <c r="F629">
        <v>60003</v>
      </c>
      <c r="G629" t="s">
        <v>157</v>
      </c>
      <c r="H629">
        <v>6</v>
      </c>
      <c r="I629" t="s">
        <v>32</v>
      </c>
      <c r="J629">
        <v>16</v>
      </c>
      <c r="K629" s="4">
        <v>310</v>
      </c>
      <c r="L629" s="4">
        <v>4960</v>
      </c>
    </row>
    <row r="630" spans="2:12" ht="12.75">
      <c r="B630" t="str">
        <f t="shared" si="34"/>
        <v>5883</v>
      </c>
      <c r="C630" t="s">
        <v>234</v>
      </c>
      <c r="D630">
        <v>420202</v>
      </c>
      <c r="E630" t="s">
        <v>19</v>
      </c>
      <c r="F630">
        <v>70004</v>
      </c>
      <c r="G630" t="s">
        <v>25</v>
      </c>
      <c r="H630">
        <v>7</v>
      </c>
      <c r="I630" t="s">
        <v>74</v>
      </c>
      <c r="J630">
        <v>10</v>
      </c>
      <c r="K630" s="4">
        <v>100</v>
      </c>
      <c r="L630" s="4">
        <v>1000</v>
      </c>
    </row>
    <row r="631" spans="2:12" ht="12.75">
      <c r="B631" t="str">
        <f t="shared" si="34"/>
        <v>5883</v>
      </c>
      <c r="C631" t="s">
        <v>234</v>
      </c>
      <c r="D631">
        <v>420222</v>
      </c>
      <c r="E631" t="s">
        <v>60</v>
      </c>
      <c r="F631">
        <v>230001</v>
      </c>
      <c r="G631" t="s">
        <v>236</v>
      </c>
      <c r="H631">
        <v>23</v>
      </c>
      <c r="I631" t="s">
        <v>143</v>
      </c>
      <c r="J631">
        <v>2</v>
      </c>
      <c r="K631" s="4">
        <v>26112</v>
      </c>
      <c r="L631" s="4">
        <v>52224</v>
      </c>
    </row>
    <row r="632" spans="2:12" ht="12.75">
      <c r="B632" t="str">
        <f t="shared" si="34"/>
        <v>5883</v>
      </c>
      <c r="C632" t="s">
        <v>234</v>
      </c>
      <c r="D632">
        <v>420222</v>
      </c>
      <c r="E632" t="s">
        <v>60</v>
      </c>
      <c r="F632">
        <v>230002</v>
      </c>
      <c r="G632" t="s">
        <v>214</v>
      </c>
      <c r="H632">
        <v>23</v>
      </c>
      <c r="I632" t="s">
        <v>143</v>
      </c>
      <c r="J632">
        <v>2</v>
      </c>
      <c r="K632" s="4">
        <v>30000</v>
      </c>
      <c r="L632" s="4">
        <v>60000</v>
      </c>
    </row>
    <row r="633" spans="2:12" ht="12.75">
      <c r="B633" t="str">
        <f t="shared" si="34"/>
        <v>5883</v>
      </c>
      <c r="C633" t="s">
        <v>234</v>
      </c>
      <c r="D633">
        <v>420222</v>
      </c>
      <c r="E633" t="s">
        <v>60</v>
      </c>
      <c r="F633">
        <v>230003</v>
      </c>
      <c r="G633" t="s">
        <v>25</v>
      </c>
      <c r="H633">
        <v>23</v>
      </c>
      <c r="I633" t="s">
        <v>143</v>
      </c>
      <c r="J633">
        <v>1</v>
      </c>
      <c r="K633" s="4">
        <v>74430</v>
      </c>
      <c r="L633" s="4">
        <v>74430</v>
      </c>
    </row>
    <row r="634" spans="2:12" ht="12.75">
      <c r="B634" t="str">
        <f t="shared" si="34"/>
        <v>5883</v>
      </c>
      <c r="C634" t="s">
        <v>234</v>
      </c>
      <c r="D634">
        <v>420238</v>
      </c>
      <c r="E634" t="s">
        <v>34</v>
      </c>
      <c r="F634">
        <v>120007</v>
      </c>
      <c r="G634" t="s">
        <v>25</v>
      </c>
      <c r="H634">
        <v>12</v>
      </c>
      <c r="I634" t="s">
        <v>38</v>
      </c>
      <c r="J634">
        <v>8</v>
      </c>
      <c r="K634" s="4">
        <v>11637.62</v>
      </c>
      <c r="L634" s="4">
        <v>93100.96</v>
      </c>
    </row>
    <row r="635" spans="2:12" ht="12.75">
      <c r="B635" t="str">
        <f t="shared" si="34"/>
        <v>5883</v>
      </c>
      <c r="C635" t="s">
        <v>234</v>
      </c>
      <c r="D635">
        <v>420238</v>
      </c>
      <c r="E635" t="s">
        <v>34</v>
      </c>
      <c r="F635">
        <v>150004</v>
      </c>
      <c r="G635" t="s">
        <v>25</v>
      </c>
      <c r="H635">
        <v>15</v>
      </c>
      <c r="I635" t="s">
        <v>229</v>
      </c>
      <c r="J635">
        <v>1</v>
      </c>
      <c r="K635" s="4">
        <v>459917</v>
      </c>
      <c r="L635" s="4">
        <v>459917</v>
      </c>
    </row>
    <row r="636" spans="2:12" ht="12.75">
      <c r="B636" t="str">
        <f t="shared" si="34"/>
        <v>5883</v>
      </c>
      <c r="C636" t="s">
        <v>234</v>
      </c>
      <c r="D636">
        <v>420248</v>
      </c>
      <c r="E636" t="s">
        <v>36</v>
      </c>
      <c r="F636">
        <v>120007</v>
      </c>
      <c r="G636" t="s">
        <v>25</v>
      </c>
      <c r="H636">
        <v>12</v>
      </c>
      <c r="I636" t="s">
        <v>38</v>
      </c>
      <c r="J636">
        <v>1</v>
      </c>
      <c r="K636" s="4">
        <v>206917</v>
      </c>
      <c r="L636" s="4">
        <v>206917</v>
      </c>
    </row>
    <row r="637" spans="2:12" ht="12.75">
      <c r="B637" t="str">
        <f t="shared" si="34"/>
        <v>5883</v>
      </c>
      <c r="C637" t="s">
        <v>234</v>
      </c>
      <c r="D637">
        <v>420703</v>
      </c>
      <c r="E637" t="s">
        <v>51</v>
      </c>
      <c r="F637">
        <v>310007</v>
      </c>
      <c r="G637" t="s">
        <v>82</v>
      </c>
      <c r="H637">
        <v>31</v>
      </c>
      <c r="I637" t="s">
        <v>26</v>
      </c>
      <c r="J637">
        <v>1</v>
      </c>
      <c r="K637" s="4">
        <v>75114</v>
      </c>
      <c r="L637" s="4">
        <v>75114</v>
      </c>
    </row>
    <row r="638" spans="2:12" ht="12.75">
      <c r="B638" t="str">
        <f t="shared" si="34"/>
        <v>5883</v>
      </c>
      <c r="C638" t="s">
        <v>234</v>
      </c>
      <c r="D638">
        <v>420703</v>
      </c>
      <c r="E638" t="s">
        <v>51</v>
      </c>
      <c r="F638">
        <v>310007</v>
      </c>
      <c r="G638" t="s">
        <v>82</v>
      </c>
      <c r="H638">
        <v>31</v>
      </c>
      <c r="I638" t="s">
        <v>26</v>
      </c>
      <c r="J638">
        <v>1</v>
      </c>
      <c r="K638" s="4">
        <v>20864</v>
      </c>
      <c r="L638" s="4">
        <v>20864</v>
      </c>
    </row>
    <row r="639" spans="2:12" ht="12.75">
      <c r="B639" t="str">
        <f t="shared" si="34"/>
        <v>5883</v>
      </c>
      <c r="C639" t="s">
        <v>234</v>
      </c>
      <c r="D639">
        <v>420703</v>
      </c>
      <c r="E639" t="s">
        <v>51</v>
      </c>
      <c r="F639">
        <v>310007</v>
      </c>
      <c r="G639" t="s">
        <v>82</v>
      </c>
      <c r="H639">
        <v>31</v>
      </c>
      <c r="I639" t="s">
        <v>26</v>
      </c>
      <c r="J639">
        <v>1</v>
      </c>
      <c r="K639" s="4">
        <v>10000</v>
      </c>
      <c r="L639" s="4">
        <v>10000</v>
      </c>
    </row>
    <row r="640" spans="2:12" ht="12.75">
      <c r="B640" t="str">
        <f t="shared" si="34"/>
        <v>5883</v>
      </c>
      <c r="C640" t="s">
        <v>234</v>
      </c>
      <c r="D640">
        <v>420703</v>
      </c>
      <c r="E640" t="s">
        <v>51</v>
      </c>
      <c r="F640">
        <v>310007</v>
      </c>
      <c r="G640" t="s">
        <v>82</v>
      </c>
      <c r="H640">
        <v>31</v>
      </c>
      <c r="I640" t="s">
        <v>26</v>
      </c>
      <c r="J640">
        <v>1</v>
      </c>
      <c r="K640" s="4">
        <v>13771</v>
      </c>
      <c r="L640" s="4">
        <v>13771</v>
      </c>
    </row>
    <row r="641" spans="2:12" ht="12.75">
      <c r="B641" t="str">
        <f t="shared" si="34"/>
        <v>5883</v>
      </c>
      <c r="C641" t="s">
        <v>234</v>
      </c>
      <c r="D641">
        <v>420703</v>
      </c>
      <c r="E641" t="s">
        <v>51</v>
      </c>
      <c r="F641">
        <v>310007</v>
      </c>
      <c r="G641" t="s">
        <v>82</v>
      </c>
      <c r="H641">
        <v>31</v>
      </c>
      <c r="I641" t="s">
        <v>26</v>
      </c>
      <c r="J641">
        <v>1</v>
      </c>
      <c r="K641" s="4">
        <v>57754</v>
      </c>
      <c r="L641" s="4">
        <v>57754</v>
      </c>
    </row>
    <row r="642" spans="2:12" ht="12.75">
      <c r="B642" t="str">
        <f t="shared" si="34"/>
        <v>5883</v>
      </c>
      <c r="C642" t="s">
        <v>234</v>
      </c>
      <c r="D642">
        <v>420704</v>
      </c>
      <c r="E642" t="s">
        <v>24</v>
      </c>
      <c r="F642">
        <v>310007</v>
      </c>
      <c r="G642" t="s">
        <v>82</v>
      </c>
      <c r="H642">
        <v>31</v>
      </c>
      <c r="I642" t="s">
        <v>26</v>
      </c>
      <c r="J642">
        <v>1</v>
      </c>
      <c r="K642" s="4">
        <v>418203</v>
      </c>
      <c r="L642" s="4">
        <v>418203</v>
      </c>
    </row>
    <row r="643" spans="1:2" ht="12.75">
      <c r="A643" t="s">
        <v>47</v>
      </c>
      <c r="B643">
        <f>SUM(L611:L642)</f>
        <v>2803889.96</v>
      </c>
    </row>
    <row r="645" ht="12.75">
      <c r="A645" t="str">
        <f>"1912 - Uprava RS za zaščito in reševanje, verzija: 1"</f>
        <v>1912 - Uprava RS za zaščito in reševanje, verzija: 1</v>
      </c>
    </row>
    <row r="646" spans="2:13" ht="12.75">
      <c r="B646" t="s">
        <v>3</v>
      </c>
      <c r="D646" t="s">
        <v>4</v>
      </c>
      <c r="F646" t="s">
        <v>5</v>
      </c>
      <c r="H646" t="s">
        <v>6</v>
      </c>
      <c r="J646" t="s">
        <v>7</v>
      </c>
      <c r="K646" s="4" t="s">
        <v>8</v>
      </c>
      <c r="L646" s="4" t="s">
        <v>9</v>
      </c>
      <c r="M646" t="s">
        <v>10</v>
      </c>
    </row>
    <row r="647" spans="2:12" ht="12.75">
      <c r="B647" t="str">
        <f>"4791"</f>
        <v>4791</v>
      </c>
      <c r="C647" t="s">
        <v>237</v>
      </c>
      <c r="D647">
        <v>420238</v>
      </c>
      <c r="E647" t="s">
        <v>34</v>
      </c>
      <c r="F647">
        <v>150004</v>
      </c>
      <c r="G647" t="s">
        <v>25</v>
      </c>
      <c r="H647">
        <v>15</v>
      </c>
      <c r="I647" t="s">
        <v>229</v>
      </c>
      <c r="J647">
        <v>1</v>
      </c>
      <c r="K647" s="4">
        <v>250000</v>
      </c>
      <c r="L647" s="4">
        <v>250000</v>
      </c>
    </row>
    <row r="648" spans="2:12" ht="12.75">
      <c r="B648" t="str">
        <f>"5843"</f>
        <v>5843</v>
      </c>
      <c r="C648" t="s">
        <v>238</v>
      </c>
      <c r="D648">
        <v>402510</v>
      </c>
      <c r="E648" t="s">
        <v>12</v>
      </c>
      <c r="F648">
        <v>350003</v>
      </c>
      <c r="G648" t="s">
        <v>44</v>
      </c>
      <c r="H648">
        <v>35</v>
      </c>
      <c r="I648" t="s">
        <v>17</v>
      </c>
      <c r="J648">
        <v>1</v>
      </c>
      <c r="K648" s="4">
        <v>1100</v>
      </c>
      <c r="L648" s="4">
        <v>1100</v>
      </c>
    </row>
    <row r="649" spans="2:12" ht="12.75">
      <c r="B649" t="str">
        <f>"5843"</f>
        <v>5843</v>
      </c>
      <c r="C649" t="s">
        <v>238</v>
      </c>
      <c r="D649">
        <v>420238</v>
      </c>
      <c r="E649" t="s">
        <v>34</v>
      </c>
      <c r="F649">
        <v>150004</v>
      </c>
      <c r="G649" t="s">
        <v>25</v>
      </c>
      <c r="H649">
        <v>15</v>
      </c>
      <c r="I649" t="s">
        <v>229</v>
      </c>
      <c r="J649">
        <v>1</v>
      </c>
      <c r="K649" s="4">
        <v>7000</v>
      </c>
      <c r="L649" s="4">
        <v>7000</v>
      </c>
    </row>
    <row r="650" spans="2:12" ht="12.75">
      <c r="B650" t="str">
        <f aca="true" t="shared" si="35" ref="B650:B671">"5887"</f>
        <v>5887</v>
      </c>
      <c r="C650" t="s">
        <v>234</v>
      </c>
      <c r="D650">
        <v>402510</v>
      </c>
      <c r="E650" t="s">
        <v>12</v>
      </c>
      <c r="F650">
        <v>350003</v>
      </c>
      <c r="G650" t="s">
        <v>44</v>
      </c>
      <c r="H650">
        <v>35</v>
      </c>
      <c r="I650" t="s">
        <v>17</v>
      </c>
      <c r="J650">
        <v>1</v>
      </c>
      <c r="K650" s="4">
        <v>417291</v>
      </c>
      <c r="L650" s="4">
        <v>417291</v>
      </c>
    </row>
    <row r="651" spans="2:12" ht="12.75">
      <c r="B651" t="str">
        <f t="shared" si="35"/>
        <v>5887</v>
      </c>
      <c r="C651" t="s">
        <v>234</v>
      </c>
      <c r="D651">
        <v>402510</v>
      </c>
      <c r="E651" t="s">
        <v>12</v>
      </c>
      <c r="F651">
        <v>350011</v>
      </c>
      <c r="G651" t="s">
        <v>25</v>
      </c>
      <c r="H651">
        <v>35</v>
      </c>
      <c r="I651" t="s">
        <v>17</v>
      </c>
      <c r="J651">
        <v>1</v>
      </c>
      <c r="K651" s="4">
        <v>22070</v>
      </c>
      <c r="L651" s="4">
        <v>22070</v>
      </c>
    </row>
    <row r="652" spans="2:12" ht="12.75">
      <c r="B652" t="str">
        <f t="shared" si="35"/>
        <v>5887</v>
      </c>
      <c r="C652" t="s">
        <v>234</v>
      </c>
      <c r="D652">
        <v>402513</v>
      </c>
      <c r="E652" t="s">
        <v>85</v>
      </c>
      <c r="F652">
        <v>350001</v>
      </c>
      <c r="G652" t="s">
        <v>16</v>
      </c>
      <c r="H652">
        <v>35</v>
      </c>
      <c r="I652" t="s">
        <v>17</v>
      </c>
      <c r="J652">
        <v>1</v>
      </c>
      <c r="K652" s="4">
        <v>16611</v>
      </c>
      <c r="L652" s="4">
        <v>16611</v>
      </c>
    </row>
    <row r="653" spans="2:12" ht="12.75">
      <c r="B653" t="str">
        <f t="shared" si="35"/>
        <v>5887</v>
      </c>
      <c r="C653" t="s">
        <v>234</v>
      </c>
      <c r="D653">
        <v>402513</v>
      </c>
      <c r="E653" t="s">
        <v>85</v>
      </c>
      <c r="F653">
        <v>350005</v>
      </c>
      <c r="G653" t="s">
        <v>96</v>
      </c>
      <c r="H653">
        <v>35</v>
      </c>
      <c r="I653" t="s">
        <v>17</v>
      </c>
      <c r="J653">
        <v>1</v>
      </c>
      <c r="K653" s="4">
        <v>129362</v>
      </c>
      <c r="L653" s="4">
        <v>129362</v>
      </c>
    </row>
    <row r="654" spans="2:12" ht="12.75">
      <c r="B654" t="str">
        <f t="shared" si="35"/>
        <v>5887</v>
      </c>
      <c r="C654" t="s">
        <v>234</v>
      </c>
      <c r="D654">
        <v>402513</v>
      </c>
      <c r="E654" t="s">
        <v>85</v>
      </c>
      <c r="F654">
        <v>400024</v>
      </c>
      <c r="G654" t="s">
        <v>25</v>
      </c>
      <c r="H654">
        <v>40</v>
      </c>
      <c r="I654" t="s">
        <v>50</v>
      </c>
      <c r="J654">
        <v>1</v>
      </c>
      <c r="K654" s="4">
        <v>50075</v>
      </c>
      <c r="L654" s="4">
        <v>50075</v>
      </c>
    </row>
    <row r="655" spans="2:12" ht="12.75">
      <c r="B655" t="str">
        <f t="shared" si="35"/>
        <v>5887</v>
      </c>
      <c r="C655" t="s">
        <v>234</v>
      </c>
      <c r="D655">
        <v>402515</v>
      </c>
      <c r="E655" t="s">
        <v>15</v>
      </c>
      <c r="F655">
        <v>400008</v>
      </c>
      <c r="G655" t="s">
        <v>76</v>
      </c>
      <c r="H655">
        <v>40</v>
      </c>
      <c r="I655" t="s">
        <v>50</v>
      </c>
      <c r="J655">
        <v>1</v>
      </c>
      <c r="K655" s="4">
        <v>8346</v>
      </c>
      <c r="L655" s="4">
        <v>8346</v>
      </c>
    </row>
    <row r="656" spans="2:12" ht="12.75">
      <c r="B656" t="str">
        <f t="shared" si="35"/>
        <v>5887</v>
      </c>
      <c r="C656" t="s">
        <v>234</v>
      </c>
      <c r="D656">
        <v>402515</v>
      </c>
      <c r="E656" t="s">
        <v>15</v>
      </c>
      <c r="F656">
        <v>400012</v>
      </c>
      <c r="G656" t="s">
        <v>90</v>
      </c>
      <c r="H656">
        <v>40</v>
      </c>
      <c r="I656" t="s">
        <v>50</v>
      </c>
      <c r="J656">
        <v>1</v>
      </c>
      <c r="K656" s="4">
        <v>8346</v>
      </c>
      <c r="L656" s="4">
        <v>8346</v>
      </c>
    </row>
    <row r="657" spans="2:12" ht="12.75">
      <c r="B657" t="str">
        <f t="shared" si="35"/>
        <v>5887</v>
      </c>
      <c r="C657" t="s">
        <v>234</v>
      </c>
      <c r="D657">
        <v>402516</v>
      </c>
      <c r="E657" t="s">
        <v>109</v>
      </c>
      <c r="F657">
        <v>350006</v>
      </c>
      <c r="G657" t="s">
        <v>239</v>
      </c>
      <c r="H657">
        <v>35</v>
      </c>
      <c r="I657" t="s">
        <v>17</v>
      </c>
      <c r="J657">
        <v>1</v>
      </c>
      <c r="K657" s="4">
        <v>54248</v>
      </c>
      <c r="L657" s="4">
        <v>54248</v>
      </c>
    </row>
    <row r="658" spans="2:12" ht="12.75">
      <c r="B658" t="str">
        <f t="shared" si="35"/>
        <v>5887</v>
      </c>
      <c r="C658" t="s">
        <v>234</v>
      </c>
      <c r="D658">
        <v>402516</v>
      </c>
      <c r="E658" t="s">
        <v>109</v>
      </c>
      <c r="F658">
        <v>350010</v>
      </c>
      <c r="G658" t="s">
        <v>173</v>
      </c>
      <c r="H658">
        <v>35</v>
      </c>
      <c r="I658" t="s">
        <v>17</v>
      </c>
      <c r="J658">
        <v>1</v>
      </c>
      <c r="K658" s="4">
        <v>25038</v>
      </c>
      <c r="L658" s="4">
        <v>25038</v>
      </c>
    </row>
    <row r="659" spans="2:12" ht="12.75">
      <c r="B659" t="str">
        <f t="shared" si="35"/>
        <v>5887</v>
      </c>
      <c r="C659" t="s">
        <v>234</v>
      </c>
      <c r="D659">
        <v>402516</v>
      </c>
      <c r="E659" t="s">
        <v>109</v>
      </c>
      <c r="F659">
        <v>400024</v>
      </c>
      <c r="G659" t="s">
        <v>25</v>
      </c>
      <c r="H659">
        <v>40</v>
      </c>
      <c r="I659" t="s">
        <v>50</v>
      </c>
      <c r="J659">
        <v>1</v>
      </c>
      <c r="K659" s="4">
        <v>33383</v>
      </c>
      <c r="L659" s="4">
        <v>33383</v>
      </c>
    </row>
    <row r="660" spans="2:12" ht="12.75">
      <c r="B660" t="str">
        <f t="shared" si="35"/>
        <v>5887</v>
      </c>
      <c r="C660" t="s">
        <v>234</v>
      </c>
      <c r="D660">
        <v>420202</v>
      </c>
      <c r="E660" t="s">
        <v>19</v>
      </c>
      <c r="F660">
        <v>10002</v>
      </c>
      <c r="G660" t="s">
        <v>20</v>
      </c>
      <c r="H660">
        <v>1</v>
      </c>
      <c r="I660" t="s">
        <v>21</v>
      </c>
      <c r="J660">
        <v>24</v>
      </c>
      <c r="K660" s="4">
        <v>1044</v>
      </c>
      <c r="L660" s="4">
        <v>25056</v>
      </c>
    </row>
    <row r="661" spans="2:12" ht="12.75">
      <c r="B661" t="str">
        <f t="shared" si="35"/>
        <v>5887</v>
      </c>
      <c r="C661" t="s">
        <v>234</v>
      </c>
      <c r="D661">
        <v>420202</v>
      </c>
      <c r="E661" t="s">
        <v>19</v>
      </c>
      <c r="F661">
        <v>20001</v>
      </c>
      <c r="G661" t="s">
        <v>29</v>
      </c>
      <c r="H661">
        <v>2</v>
      </c>
      <c r="I661" t="s">
        <v>30</v>
      </c>
      <c r="J661">
        <v>2</v>
      </c>
      <c r="K661" s="4">
        <v>2086</v>
      </c>
      <c r="L661" s="4">
        <v>4172</v>
      </c>
    </row>
    <row r="662" spans="2:12" ht="12.75">
      <c r="B662" t="str">
        <f t="shared" si="35"/>
        <v>5887</v>
      </c>
      <c r="C662" t="s">
        <v>234</v>
      </c>
      <c r="D662">
        <v>420202</v>
      </c>
      <c r="E662" t="s">
        <v>19</v>
      </c>
      <c r="F662">
        <v>60002</v>
      </c>
      <c r="G662" t="s">
        <v>31</v>
      </c>
      <c r="H662">
        <v>6</v>
      </c>
      <c r="I662" t="s">
        <v>32</v>
      </c>
      <c r="J662">
        <v>22</v>
      </c>
      <c r="K662" s="4">
        <v>300</v>
      </c>
      <c r="L662" s="4">
        <v>6600</v>
      </c>
    </row>
    <row r="663" spans="2:12" ht="12.75">
      <c r="B663" t="str">
        <f t="shared" si="35"/>
        <v>5887</v>
      </c>
      <c r="C663" t="s">
        <v>234</v>
      </c>
      <c r="D663">
        <v>420202</v>
      </c>
      <c r="E663" t="s">
        <v>19</v>
      </c>
      <c r="F663">
        <v>300001</v>
      </c>
      <c r="G663" t="s">
        <v>25</v>
      </c>
      <c r="H663">
        <v>30</v>
      </c>
      <c r="I663" t="s">
        <v>94</v>
      </c>
      <c r="J663">
        <v>1</v>
      </c>
      <c r="K663" s="4">
        <v>8347</v>
      </c>
      <c r="L663" s="4">
        <v>8347</v>
      </c>
    </row>
    <row r="664" spans="2:12" ht="12.75">
      <c r="B664" t="str">
        <f t="shared" si="35"/>
        <v>5887</v>
      </c>
      <c r="C664" t="s">
        <v>234</v>
      </c>
      <c r="D664">
        <v>420222</v>
      </c>
      <c r="E664" t="s">
        <v>60</v>
      </c>
      <c r="F664">
        <v>230003</v>
      </c>
      <c r="G664" t="s">
        <v>25</v>
      </c>
      <c r="H664">
        <v>23</v>
      </c>
      <c r="I664" t="s">
        <v>143</v>
      </c>
      <c r="J664">
        <v>1</v>
      </c>
      <c r="K664" s="4">
        <v>5000</v>
      </c>
      <c r="L664" s="4">
        <v>5000</v>
      </c>
    </row>
    <row r="665" spans="2:12" ht="12.75">
      <c r="B665" t="str">
        <f t="shared" si="35"/>
        <v>5887</v>
      </c>
      <c r="C665" t="s">
        <v>234</v>
      </c>
      <c r="D665">
        <v>420238</v>
      </c>
      <c r="E665" t="s">
        <v>34</v>
      </c>
      <c r="F665">
        <v>150004</v>
      </c>
      <c r="G665" t="s">
        <v>25</v>
      </c>
      <c r="H665">
        <v>15</v>
      </c>
      <c r="I665" t="s">
        <v>229</v>
      </c>
      <c r="J665">
        <v>1</v>
      </c>
      <c r="K665" s="4">
        <v>709398</v>
      </c>
      <c r="L665" s="4">
        <v>709398</v>
      </c>
    </row>
    <row r="666" spans="2:12" ht="12.75">
      <c r="B666" t="str">
        <f t="shared" si="35"/>
        <v>5887</v>
      </c>
      <c r="C666" t="s">
        <v>234</v>
      </c>
      <c r="D666">
        <v>420238</v>
      </c>
      <c r="E666" t="s">
        <v>34</v>
      </c>
      <c r="F666">
        <v>150004</v>
      </c>
      <c r="G666" t="s">
        <v>25</v>
      </c>
      <c r="H666">
        <v>15</v>
      </c>
      <c r="I666" t="s">
        <v>229</v>
      </c>
      <c r="J666">
        <v>1</v>
      </c>
      <c r="K666" s="4">
        <v>1608846</v>
      </c>
      <c r="L666" s="4">
        <v>1608846</v>
      </c>
    </row>
    <row r="667" spans="2:12" ht="12.75">
      <c r="B667" t="str">
        <f t="shared" si="35"/>
        <v>5887</v>
      </c>
      <c r="C667" t="s">
        <v>234</v>
      </c>
      <c r="D667">
        <v>420238</v>
      </c>
      <c r="E667" t="s">
        <v>34</v>
      </c>
      <c r="F667">
        <v>200017</v>
      </c>
      <c r="G667" t="s">
        <v>25</v>
      </c>
      <c r="H667">
        <v>20</v>
      </c>
      <c r="I667" t="s">
        <v>146</v>
      </c>
      <c r="J667">
        <v>4</v>
      </c>
      <c r="K667" s="4">
        <v>20865</v>
      </c>
      <c r="L667" s="4">
        <v>83460</v>
      </c>
    </row>
    <row r="668" spans="2:12" ht="12.75">
      <c r="B668" t="str">
        <f t="shared" si="35"/>
        <v>5887</v>
      </c>
      <c r="C668" t="s">
        <v>234</v>
      </c>
      <c r="D668">
        <v>420238</v>
      </c>
      <c r="E668" t="s">
        <v>34</v>
      </c>
      <c r="F668">
        <v>300001</v>
      </c>
      <c r="G668" t="s">
        <v>25</v>
      </c>
      <c r="H668">
        <v>30</v>
      </c>
      <c r="I668" t="s">
        <v>94</v>
      </c>
      <c r="J668">
        <v>15</v>
      </c>
      <c r="K668" s="4">
        <v>1360</v>
      </c>
      <c r="L668" s="4">
        <v>20400</v>
      </c>
    </row>
    <row r="669" spans="2:12" ht="12.75">
      <c r="B669" t="str">
        <f t="shared" si="35"/>
        <v>5887</v>
      </c>
      <c r="C669" t="s">
        <v>234</v>
      </c>
      <c r="D669">
        <v>420703</v>
      </c>
      <c r="E669" t="s">
        <v>51</v>
      </c>
      <c r="F669">
        <v>150004</v>
      </c>
      <c r="G669" t="s">
        <v>25</v>
      </c>
      <c r="H669">
        <v>15</v>
      </c>
      <c r="I669" t="s">
        <v>229</v>
      </c>
      <c r="J669">
        <v>1</v>
      </c>
      <c r="K669" s="4">
        <v>12519</v>
      </c>
      <c r="L669" s="4">
        <v>12519</v>
      </c>
    </row>
    <row r="670" spans="2:12" ht="12.75">
      <c r="B670" t="str">
        <f t="shared" si="35"/>
        <v>5887</v>
      </c>
      <c r="C670" t="s">
        <v>234</v>
      </c>
      <c r="D670">
        <v>420704</v>
      </c>
      <c r="E670" t="s">
        <v>24</v>
      </c>
      <c r="F670">
        <v>150004</v>
      </c>
      <c r="G670" t="s">
        <v>25</v>
      </c>
      <c r="H670">
        <v>15</v>
      </c>
      <c r="I670" t="s">
        <v>229</v>
      </c>
      <c r="J670">
        <v>1</v>
      </c>
      <c r="K670" s="4">
        <v>41730</v>
      </c>
      <c r="L670" s="4">
        <v>41730</v>
      </c>
    </row>
    <row r="671" spans="2:12" ht="12.75">
      <c r="B671" t="str">
        <f t="shared" si="35"/>
        <v>5887</v>
      </c>
      <c r="C671" t="s">
        <v>234</v>
      </c>
      <c r="D671">
        <v>420704</v>
      </c>
      <c r="E671" t="s">
        <v>24</v>
      </c>
      <c r="F671">
        <v>160007</v>
      </c>
      <c r="G671" t="s">
        <v>70</v>
      </c>
      <c r="H671">
        <v>16</v>
      </c>
      <c r="I671" t="s">
        <v>71</v>
      </c>
      <c r="J671">
        <v>1</v>
      </c>
      <c r="K671" s="4">
        <v>158676</v>
      </c>
      <c r="L671" s="4">
        <v>158676</v>
      </c>
    </row>
    <row r="672" spans="2:12" ht="12.75">
      <c r="B672" t="str">
        <f>"5888"</f>
        <v>5888</v>
      </c>
      <c r="C672" t="s">
        <v>240</v>
      </c>
      <c r="D672">
        <v>402941</v>
      </c>
      <c r="E672" t="s">
        <v>98</v>
      </c>
      <c r="F672">
        <v>440002</v>
      </c>
      <c r="G672" t="s">
        <v>155</v>
      </c>
      <c r="H672">
        <v>44</v>
      </c>
      <c r="I672" t="s">
        <v>99</v>
      </c>
      <c r="J672">
        <v>1</v>
      </c>
      <c r="K672" s="4">
        <v>20000</v>
      </c>
      <c r="L672" s="4">
        <v>20000</v>
      </c>
    </row>
    <row r="673" spans="2:12" ht="12.75">
      <c r="B673" t="str">
        <f>"6551"</f>
        <v>6551</v>
      </c>
      <c r="C673" t="s">
        <v>241</v>
      </c>
      <c r="D673">
        <v>402510</v>
      </c>
      <c r="E673" t="s">
        <v>12</v>
      </c>
      <c r="F673">
        <v>350003</v>
      </c>
      <c r="G673" t="s">
        <v>44</v>
      </c>
      <c r="H673">
        <v>35</v>
      </c>
      <c r="I673" t="s">
        <v>17</v>
      </c>
      <c r="J673">
        <v>1</v>
      </c>
      <c r="K673" s="4">
        <v>3500</v>
      </c>
      <c r="L673" s="4">
        <v>3500</v>
      </c>
    </row>
    <row r="674" spans="2:12" ht="12.75">
      <c r="B674" t="str">
        <f>"6551"</f>
        <v>6551</v>
      </c>
      <c r="C674" t="s">
        <v>241</v>
      </c>
      <c r="D674">
        <v>420703</v>
      </c>
      <c r="E674" t="s">
        <v>51</v>
      </c>
      <c r="F674">
        <v>160007</v>
      </c>
      <c r="G674" t="s">
        <v>70</v>
      </c>
      <c r="H674">
        <v>16</v>
      </c>
      <c r="I674" t="s">
        <v>71</v>
      </c>
      <c r="J674">
        <v>1</v>
      </c>
      <c r="K674" s="4">
        <v>250</v>
      </c>
      <c r="L674" s="4">
        <v>250</v>
      </c>
    </row>
    <row r="675" spans="1:2" ht="12.75">
      <c r="A675" t="s">
        <v>47</v>
      </c>
      <c r="B675">
        <f>SUM(L647:L674)</f>
        <v>3730824</v>
      </c>
    </row>
    <row r="677" ht="12.75">
      <c r="A677" t="str">
        <f>"1913 - Inšpektorat RS za varstvo pred naravnimi in drugimi nesrečami, verzija: 1"</f>
        <v>1913 - Inšpektorat RS za varstvo pred naravnimi in drugimi nesrečami, verzija: 1</v>
      </c>
    </row>
    <row r="678" spans="2:13" ht="12.75">
      <c r="B678" t="s">
        <v>3</v>
      </c>
      <c r="D678" t="s">
        <v>4</v>
      </c>
      <c r="F678" t="s">
        <v>5</v>
      </c>
      <c r="H678" t="s">
        <v>6</v>
      </c>
      <c r="J678" t="s">
        <v>7</v>
      </c>
      <c r="K678" s="4" t="s">
        <v>8</v>
      </c>
      <c r="L678" s="4" t="s">
        <v>9</v>
      </c>
      <c r="M678" t="s">
        <v>10</v>
      </c>
    </row>
    <row r="679" spans="2:12" ht="12.75">
      <c r="B679" t="str">
        <f aca="true" t="shared" si="36" ref="B679:B690">"4959"</f>
        <v>4959</v>
      </c>
      <c r="C679" t="s">
        <v>242</v>
      </c>
      <c r="D679">
        <v>420202</v>
      </c>
      <c r="E679" t="s">
        <v>19</v>
      </c>
      <c r="F679">
        <v>10003</v>
      </c>
      <c r="G679" t="s">
        <v>28</v>
      </c>
      <c r="H679">
        <v>1</v>
      </c>
      <c r="I679" t="s">
        <v>21</v>
      </c>
      <c r="J679">
        <v>12</v>
      </c>
      <c r="K679" s="4">
        <v>1044</v>
      </c>
      <c r="L679" s="4">
        <v>12528</v>
      </c>
    </row>
    <row r="680" spans="2:12" ht="12.75">
      <c r="B680" t="str">
        <f t="shared" si="36"/>
        <v>4959</v>
      </c>
      <c r="C680" t="s">
        <v>242</v>
      </c>
      <c r="D680">
        <v>420202</v>
      </c>
      <c r="E680" t="s">
        <v>19</v>
      </c>
      <c r="F680">
        <v>10004</v>
      </c>
      <c r="G680" t="s">
        <v>25</v>
      </c>
      <c r="H680">
        <v>1</v>
      </c>
      <c r="I680" t="s">
        <v>21</v>
      </c>
      <c r="J680">
        <v>1</v>
      </c>
      <c r="K680" s="4">
        <v>1465</v>
      </c>
      <c r="L680" s="4">
        <v>1465</v>
      </c>
    </row>
    <row r="681" spans="2:12" ht="12.75">
      <c r="B681" t="str">
        <f t="shared" si="36"/>
        <v>4959</v>
      </c>
      <c r="C681" t="s">
        <v>242</v>
      </c>
      <c r="D681">
        <v>420202</v>
      </c>
      <c r="E681" t="s">
        <v>19</v>
      </c>
      <c r="F681">
        <v>20002</v>
      </c>
      <c r="G681" t="s">
        <v>58</v>
      </c>
      <c r="H681">
        <v>2</v>
      </c>
      <c r="I681" t="s">
        <v>30</v>
      </c>
      <c r="J681">
        <v>20</v>
      </c>
      <c r="K681" s="4">
        <v>1630</v>
      </c>
      <c r="L681" s="4">
        <v>32600</v>
      </c>
    </row>
    <row r="682" spans="2:12" ht="12.75">
      <c r="B682" t="str">
        <f t="shared" si="36"/>
        <v>4959</v>
      </c>
      <c r="C682" t="s">
        <v>242</v>
      </c>
      <c r="D682">
        <v>420202</v>
      </c>
      <c r="E682" t="s">
        <v>19</v>
      </c>
      <c r="F682">
        <v>40002</v>
      </c>
      <c r="G682" t="s">
        <v>22</v>
      </c>
      <c r="H682">
        <v>4</v>
      </c>
      <c r="I682" t="s">
        <v>23</v>
      </c>
      <c r="J682">
        <v>4</v>
      </c>
      <c r="K682" s="4">
        <v>376</v>
      </c>
      <c r="L682" s="4">
        <v>1504</v>
      </c>
    </row>
    <row r="683" spans="2:12" ht="12.75">
      <c r="B683" t="str">
        <f t="shared" si="36"/>
        <v>4959</v>
      </c>
      <c r="C683" t="s">
        <v>242</v>
      </c>
      <c r="D683">
        <v>420202</v>
      </c>
      <c r="E683" t="s">
        <v>19</v>
      </c>
      <c r="F683">
        <v>40003</v>
      </c>
      <c r="G683" t="s">
        <v>72</v>
      </c>
      <c r="H683">
        <v>4</v>
      </c>
      <c r="I683" t="s">
        <v>23</v>
      </c>
      <c r="J683">
        <v>4</v>
      </c>
      <c r="K683" s="4">
        <v>751</v>
      </c>
      <c r="L683" s="4">
        <v>3004</v>
      </c>
    </row>
    <row r="684" spans="2:12" ht="12.75">
      <c r="B684" t="str">
        <f t="shared" si="36"/>
        <v>4959</v>
      </c>
      <c r="C684" t="s">
        <v>242</v>
      </c>
      <c r="D684">
        <v>420202</v>
      </c>
      <c r="E684" t="s">
        <v>19</v>
      </c>
      <c r="F684">
        <v>60002</v>
      </c>
      <c r="G684" t="s">
        <v>31</v>
      </c>
      <c r="H684">
        <v>6</v>
      </c>
      <c r="I684" t="s">
        <v>32</v>
      </c>
      <c r="J684">
        <v>13</v>
      </c>
      <c r="K684" s="4">
        <v>751</v>
      </c>
      <c r="L684" s="4">
        <v>9763</v>
      </c>
    </row>
    <row r="685" spans="2:12" ht="12.75">
      <c r="B685" t="str">
        <f t="shared" si="36"/>
        <v>4959</v>
      </c>
      <c r="C685" t="s">
        <v>242</v>
      </c>
      <c r="D685">
        <v>420202</v>
      </c>
      <c r="E685" t="s">
        <v>19</v>
      </c>
      <c r="F685">
        <v>60002</v>
      </c>
      <c r="G685" t="s">
        <v>31</v>
      </c>
      <c r="H685">
        <v>6</v>
      </c>
      <c r="I685" t="s">
        <v>32</v>
      </c>
      <c r="J685">
        <v>1</v>
      </c>
      <c r="K685" s="4">
        <v>2295</v>
      </c>
      <c r="L685" s="4">
        <v>2295</v>
      </c>
    </row>
    <row r="686" spans="2:12" ht="12.75">
      <c r="B686" t="str">
        <f t="shared" si="36"/>
        <v>4959</v>
      </c>
      <c r="C686" t="s">
        <v>242</v>
      </c>
      <c r="D686">
        <v>420238</v>
      </c>
      <c r="E686" t="s">
        <v>34</v>
      </c>
      <c r="F686">
        <v>120006</v>
      </c>
      <c r="G686" t="s">
        <v>243</v>
      </c>
      <c r="H686">
        <v>12</v>
      </c>
      <c r="I686" t="s">
        <v>38</v>
      </c>
      <c r="J686">
        <v>8</v>
      </c>
      <c r="K686" s="4">
        <v>8000</v>
      </c>
      <c r="L686" s="4">
        <v>64000</v>
      </c>
    </row>
    <row r="687" spans="2:12" ht="12.75">
      <c r="B687" t="str">
        <f t="shared" si="36"/>
        <v>4959</v>
      </c>
      <c r="C687" t="s">
        <v>242</v>
      </c>
      <c r="D687">
        <v>420238</v>
      </c>
      <c r="E687" t="s">
        <v>34</v>
      </c>
      <c r="F687">
        <v>120007</v>
      </c>
      <c r="G687" t="s">
        <v>25</v>
      </c>
      <c r="H687">
        <v>12</v>
      </c>
      <c r="I687" t="s">
        <v>38</v>
      </c>
      <c r="J687">
        <v>4</v>
      </c>
      <c r="K687" s="4">
        <v>3756</v>
      </c>
      <c r="L687" s="4">
        <v>15024</v>
      </c>
    </row>
    <row r="688" spans="2:12" ht="12.75">
      <c r="B688" t="str">
        <f t="shared" si="36"/>
        <v>4959</v>
      </c>
      <c r="C688" t="s">
        <v>242</v>
      </c>
      <c r="D688">
        <v>420238</v>
      </c>
      <c r="E688" t="s">
        <v>34</v>
      </c>
      <c r="F688">
        <v>150004</v>
      </c>
      <c r="G688" t="s">
        <v>25</v>
      </c>
      <c r="H688">
        <v>15</v>
      </c>
      <c r="I688" t="s">
        <v>229</v>
      </c>
      <c r="J688">
        <v>4</v>
      </c>
      <c r="K688" s="4">
        <v>626</v>
      </c>
      <c r="L688" s="4">
        <v>2504</v>
      </c>
    </row>
    <row r="689" spans="2:12" ht="12.75">
      <c r="B689" t="str">
        <f t="shared" si="36"/>
        <v>4959</v>
      </c>
      <c r="C689" t="s">
        <v>242</v>
      </c>
      <c r="D689">
        <v>420238</v>
      </c>
      <c r="E689" t="s">
        <v>34</v>
      </c>
      <c r="F689">
        <v>150004</v>
      </c>
      <c r="G689" t="s">
        <v>25</v>
      </c>
      <c r="H689">
        <v>15</v>
      </c>
      <c r="I689" t="s">
        <v>229</v>
      </c>
      <c r="J689">
        <v>19</v>
      </c>
      <c r="K689" s="4">
        <v>251</v>
      </c>
      <c r="L689" s="4">
        <v>4769</v>
      </c>
    </row>
    <row r="690" spans="2:12" ht="12.75">
      <c r="B690" t="str">
        <f t="shared" si="36"/>
        <v>4959</v>
      </c>
      <c r="C690" t="s">
        <v>242</v>
      </c>
      <c r="D690">
        <v>420238</v>
      </c>
      <c r="E690" t="s">
        <v>34</v>
      </c>
      <c r="F690">
        <v>150004</v>
      </c>
      <c r="G690" t="s">
        <v>25</v>
      </c>
      <c r="H690">
        <v>15</v>
      </c>
      <c r="I690" t="s">
        <v>229</v>
      </c>
      <c r="J690">
        <v>1</v>
      </c>
      <c r="K690" s="4">
        <v>1460</v>
      </c>
      <c r="L690" s="4">
        <v>1460</v>
      </c>
    </row>
    <row r="691" spans="2:12" ht="12.75">
      <c r="B691" t="str">
        <f>"5892"</f>
        <v>5892</v>
      </c>
      <c r="C691" t="s">
        <v>234</v>
      </c>
      <c r="D691">
        <v>402510</v>
      </c>
      <c r="E691" t="s">
        <v>12</v>
      </c>
      <c r="F691">
        <v>350011</v>
      </c>
      <c r="G691" t="s">
        <v>25</v>
      </c>
      <c r="H691">
        <v>35</v>
      </c>
      <c r="I691" t="s">
        <v>17</v>
      </c>
      <c r="J691">
        <v>1</v>
      </c>
      <c r="K691" s="4">
        <v>500</v>
      </c>
      <c r="L691" s="4">
        <v>500</v>
      </c>
    </row>
    <row r="692" spans="1:2" ht="12.75">
      <c r="A692" t="s">
        <v>47</v>
      </c>
      <c r="B692">
        <f>SUM(L679:L691)</f>
        <v>151416</v>
      </c>
    </row>
    <row r="694" ht="12.75">
      <c r="A694" t="str">
        <f>"1915 - Inšpektorat RS za obrambo, verzija: 1"</f>
        <v>1915 - Inšpektorat RS za obrambo, verzija: 1</v>
      </c>
    </row>
    <row r="695" spans="2:13" ht="12.75">
      <c r="B695" t="s">
        <v>3</v>
      </c>
      <c r="D695" t="s">
        <v>4</v>
      </c>
      <c r="F695" t="s">
        <v>5</v>
      </c>
      <c r="H695" t="s">
        <v>6</v>
      </c>
      <c r="J695" t="s">
        <v>7</v>
      </c>
      <c r="K695" s="4" t="s">
        <v>8</v>
      </c>
      <c r="L695" s="4" t="s">
        <v>9</v>
      </c>
      <c r="M695" t="s">
        <v>10</v>
      </c>
    </row>
    <row r="696" spans="2:12" ht="12.75">
      <c r="B696" t="str">
        <f aca="true" t="shared" si="37" ref="B696:B702">"2040"</f>
        <v>2040</v>
      </c>
      <c r="C696" t="s">
        <v>234</v>
      </c>
      <c r="D696">
        <v>420202</v>
      </c>
      <c r="E696" t="s">
        <v>19</v>
      </c>
      <c r="F696">
        <v>10002</v>
      </c>
      <c r="G696" t="s">
        <v>20</v>
      </c>
      <c r="H696">
        <v>1</v>
      </c>
      <c r="I696" t="s">
        <v>21</v>
      </c>
      <c r="J696">
        <v>4</v>
      </c>
      <c r="K696" s="4">
        <v>620</v>
      </c>
      <c r="L696" s="4">
        <v>2480</v>
      </c>
    </row>
    <row r="697" spans="2:12" ht="12.75">
      <c r="B697" t="str">
        <f t="shared" si="37"/>
        <v>2040</v>
      </c>
      <c r="C697" t="s">
        <v>234</v>
      </c>
      <c r="D697">
        <v>420202</v>
      </c>
      <c r="E697" t="s">
        <v>19</v>
      </c>
      <c r="F697">
        <v>20001</v>
      </c>
      <c r="G697" t="s">
        <v>29</v>
      </c>
      <c r="H697">
        <v>2</v>
      </c>
      <c r="I697" t="s">
        <v>30</v>
      </c>
      <c r="J697">
        <v>5</v>
      </c>
      <c r="K697" s="4">
        <v>900</v>
      </c>
      <c r="L697" s="4">
        <v>4500</v>
      </c>
    </row>
    <row r="698" spans="2:12" ht="12.75">
      <c r="B698" t="str">
        <f t="shared" si="37"/>
        <v>2040</v>
      </c>
      <c r="C698" t="s">
        <v>234</v>
      </c>
      <c r="D698">
        <v>420202</v>
      </c>
      <c r="E698" t="s">
        <v>19</v>
      </c>
      <c r="F698">
        <v>40002</v>
      </c>
      <c r="G698" t="s">
        <v>22</v>
      </c>
      <c r="H698">
        <v>4</v>
      </c>
      <c r="I698" t="s">
        <v>23</v>
      </c>
      <c r="J698">
        <v>5</v>
      </c>
      <c r="K698" s="4">
        <v>280</v>
      </c>
      <c r="L698" s="4">
        <v>1400</v>
      </c>
    </row>
    <row r="699" spans="2:12" ht="12.75">
      <c r="B699" t="str">
        <f t="shared" si="37"/>
        <v>2040</v>
      </c>
      <c r="C699" t="s">
        <v>234</v>
      </c>
      <c r="D699">
        <v>420202</v>
      </c>
      <c r="E699" t="s">
        <v>19</v>
      </c>
      <c r="F699">
        <v>60002</v>
      </c>
      <c r="G699" t="s">
        <v>31</v>
      </c>
      <c r="H699">
        <v>6</v>
      </c>
      <c r="I699" t="s">
        <v>32</v>
      </c>
      <c r="J699">
        <v>2</v>
      </c>
      <c r="K699" s="4">
        <v>500</v>
      </c>
      <c r="L699" s="4">
        <v>1000</v>
      </c>
    </row>
    <row r="700" spans="2:12" ht="12.75">
      <c r="B700" t="str">
        <f t="shared" si="37"/>
        <v>2040</v>
      </c>
      <c r="C700" t="s">
        <v>234</v>
      </c>
      <c r="D700">
        <v>420202</v>
      </c>
      <c r="E700" t="s">
        <v>19</v>
      </c>
      <c r="F700">
        <v>60003</v>
      </c>
      <c r="G700" t="s">
        <v>157</v>
      </c>
      <c r="H700">
        <v>6</v>
      </c>
      <c r="I700" t="s">
        <v>32</v>
      </c>
      <c r="J700">
        <v>2</v>
      </c>
      <c r="K700" s="4">
        <v>200</v>
      </c>
      <c r="L700" s="4">
        <v>400</v>
      </c>
    </row>
    <row r="701" spans="2:12" ht="12.75">
      <c r="B701" t="str">
        <f t="shared" si="37"/>
        <v>2040</v>
      </c>
      <c r="C701" t="s">
        <v>234</v>
      </c>
      <c r="D701">
        <v>420238</v>
      </c>
      <c r="E701" t="s">
        <v>34</v>
      </c>
      <c r="F701">
        <v>150004</v>
      </c>
      <c r="G701" t="s">
        <v>25</v>
      </c>
      <c r="H701">
        <v>15</v>
      </c>
      <c r="I701" t="s">
        <v>229</v>
      </c>
      <c r="J701">
        <v>5</v>
      </c>
      <c r="K701" s="4">
        <v>300</v>
      </c>
      <c r="L701" s="4">
        <v>1500</v>
      </c>
    </row>
    <row r="702" spans="2:12" ht="12.75">
      <c r="B702" t="str">
        <f t="shared" si="37"/>
        <v>2040</v>
      </c>
      <c r="C702" t="s">
        <v>234</v>
      </c>
      <c r="D702">
        <v>420238</v>
      </c>
      <c r="E702" t="s">
        <v>34</v>
      </c>
      <c r="F702">
        <v>150004</v>
      </c>
      <c r="G702" t="s">
        <v>25</v>
      </c>
      <c r="H702">
        <v>15</v>
      </c>
      <c r="I702" t="s">
        <v>229</v>
      </c>
      <c r="J702">
        <v>4</v>
      </c>
      <c r="K702" s="4">
        <v>2300</v>
      </c>
      <c r="L702" s="4">
        <v>9200</v>
      </c>
    </row>
    <row r="703" spans="1:2" ht="12.75">
      <c r="A703" t="s">
        <v>47</v>
      </c>
      <c r="B703">
        <f>SUM(L696:L702)</f>
        <v>20480</v>
      </c>
    </row>
    <row r="705" ht="12.75">
      <c r="A705" t="str">
        <f>"2011 - Ministrstvo za pravosodje, verzija: 1"</f>
        <v>2011 - Ministrstvo za pravosodje, verzija: 1</v>
      </c>
    </row>
    <row r="706" spans="2:13" ht="12.75">
      <c r="B706" t="s">
        <v>3</v>
      </c>
      <c r="D706" t="s">
        <v>4</v>
      </c>
      <c r="F706" t="s">
        <v>5</v>
      </c>
      <c r="H706" t="s">
        <v>6</v>
      </c>
      <c r="J706" t="s">
        <v>7</v>
      </c>
      <c r="K706" s="4" t="s">
        <v>8</v>
      </c>
      <c r="L706" s="4" t="s">
        <v>9</v>
      </c>
      <c r="M706" t="s">
        <v>10</v>
      </c>
    </row>
    <row r="707" spans="2:13" ht="12.75">
      <c r="B707" t="s">
        <v>244</v>
      </c>
      <c r="D707">
        <v>420202</v>
      </c>
      <c r="E707" t="s">
        <v>19</v>
      </c>
      <c r="F707">
        <v>400002</v>
      </c>
      <c r="G707" t="s">
        <v>30</v>
      </c>
      <c r="H707">
        <v>40</v>
      </c>
      <c r="I707" t="s">
        <v>50</v>
      </c>
      <c r="J707">
        <v>1</v>
      </c>
      <c r="K707" s="4">
        <v>1500</v>
      </c>
      <c r="L707" s="4">
        <v>1500</v>
      </c>
      <c r="M707" t="s">
        <v>245</v>
      </c>
    </row>
    <row r="708" spans="2:13" ht="12.75">
      <c r="B708" t="s">
        <v>244</v>
      </c>
      <c r="D708">
        <v>420238</v>
      </c>
      <c r="E708" t="s">
        <v>34</v>
      </c>
      <c r="F708">
        <v>400005</v>
      </c>
      <c r="G708" t="s">
        <v>89</v>
      </c>
      <c r="H708">
        <v>40</v>
      </c>
      <c r="I708" t="s">
        <v>50</v>
      </c>
      <c r="J708">
        <v>1</v>
      </c>
      <c r="K708" s="4">
        <v>1250</v>
      </c>
      <c r="L708" s="4">
        <v>1250</v>
      </c>
      <c r="M708" t="s">
        <v>245</v>
      </c>
    </row>
    <row r="709" spans="2:13" ht="12.75">
      <c r="B709" t="s">
        <v>246</v>
      </c>
      <c r="D709">
        <v>420806</v>
      </c>
      <c r="E709" t="s">
        <v>122</v>
      </c>
      <c r="F709">
        <v>360020</v>
      </c>
      <c r="G709" t="s">
        <v>25</v>
      </c>
      <c r="H709">
        <v>36</v>
      </c>
      <c r="I709" t="s">
        <v>124</v>
      </c>
      <c r="J709">
        <v>1</v>
      </c>
      <c r="K709" s="4">
        <v>739500</v>
      </c>
      <c r="L709" s="4">
        <v>739500</v>
      </c>
      <c r="M709" t="s">
        <v>247</v>
      </c>
    </row>
    <row r="710" spans="2:13" ht="12.75">
      <c r="B710" t="s">
        <v>248</v>
      </c>
      <c r="D710">
        <v>420806</v>
      </c>
      <c r="E710" t="s">
        <v>122</v>
      </c>
      <c r="F710">
        <v>360020</v>
      </c>
      <c r="G710" t="s">
        <v>25</v>
      </c>
      <c r="H710">
        <v>36</v>
      </c>
      <c r="I710" t="s">
        <v>124</v>
      </c>
      <c r="J710">
        <v>1</v>
      </c>
      <c r="K710" s="4">
        <v>130500</v>
      </c>
      <c r="L710" s="4">
        <v>130500</v>
      </c>
      <c r="M710" t="s">
        <v>249</v>
      </c>
    </row>
    <row r="711" spans="2:13" ht="12.75">
      <c r="B711" t="s">
        <v>250</v>
      </c>
      <c r="D711">
        <v>420704</v>
      </c>
      <c r="E711" t="s">
        <v>24</v>
      </c>
      <c r="F711">
        <v>370001</v>
      </c>
      <c r="G711" t="s">
        <v>133</v>
      </c>
      <c r="H711">
        <v>37</v>
      </c>
      <c r="I711" t="s">
        <v>134</v>
      </c>
      <c r="J711">
        <v>1</v>
      </c>
      <c r="K711" s="4">
        <v>70000</v>
      </c>
      <c r="L711" s="4">
        <v>70000</v>
      </c>
      <c r="M711" t="s">
        <v>251</v>
      </c>
    </row>
    <row r="712" spans="2:13" ht="12.75">
      <c r="B712" t="s">
        <v>250</v>
      </c>
      <c r="D712">
        <v>420704</v>
      </c>
      <c r="E712" t="s">
        <v>24</v>
      </c>
      <c r="F712">
        <v>370002</v>
      </c>
      <c r="G712" t="s">
        <v>252</v>
      </c>
      <c r="H712">
        <v>37</v>
      </c>
      <c r="I712" t="s">
        <v>134</v>
      </c>
      <c r="J712">
        <v>1</v>
      </c>
      <c r="K712" s="4">
        <v>10000</v>
      </c>
      <c r="L712" s="4">
        <v>10000</v>
      </c>
      <c r="M712" t="s">
        <v>251</v>
      </c>
    </row>
    <row r="713" spans="2:13" ht="12.75">
      <c r="B713" t="s">
        <v>250</v>
      </c>
      <c r="D713">
        <v>420704</v>
      </c>
      <c r="E713" t="s">
        <v>24</v>
      </c>
      <c r="F713">
        <v>370003</v>
      </c>
      <c r="G713" t="s">
        <v>180</v>
      </c>
      <c r="H713">
        <v>37</v>
      </c>
      <c r="I713" t="s">
        <v>134</v>
      </c>
      <c r="J713">
        <v>1</v>
      </c>
      <c r="K713" s="4">
        <v>20000</v>
      </c>
      <c r="L713" s="4">
        <v>20000</v>
      </c>
      <c r="M713" t="s">
        <v>251</v>
      </c>
    </row>
    <row r="714" spans="2:13" ht="12.75">
      <c r="B714" t="s">
        <v>250</v>
      </c>
      <c r="D714">
        <v>420806</v>
      </c>
      <c r="E714" t="s">
        <v>122</v>
      </c>
      <c r="F714">
        <v>360020</v>
      </c>
      <c r="G714" t="s">
        <v>25</v>
      </c>
      <c r="H714">
        <v>36</v>
      </c>
      <c r="I714" t="s">
        <v>124</v>
      </c>
      <c r="J714">
        <v>1</v>
      </c>
      <c r="K714" s="4">
        <v>27500</v>
      </c>
      <c r="L714" s="4">
        <v>27500</v>
      </c>
      <c r="M714" t="s">
        <v>251</v>
      </c>
    </row>
    <row r="715" spans="2:13" ht="12.75">
      <c r="B715" t="s">
        <v>253</v>
      </c>
      <c r="D715">
        <v>420222</v>
      </c>
      <c r="E715" t="s">
        <v>60</v>
      </c>
      <c r="F715">
        <v>190009</v>
      </c>
      <c r="G715" t="s">
        <v>144</v>
      </c>
      <c r="H715">
        <v>19</v>
      </c>
      <c r="I715" t="s">
        <v>62</v>
      </c>
      <c r="J715">
        <v>1</v>
      </c>
      <c r="K715" s="4">
        <v>22500</v>
      </c>
      <c r="L715" s="4">
        <v>22500</v>
      </c>
      <c r="M715" t="s">
        <v>254</v>
      </c>
    </row>
    <row r="716" spans="2:12" ht="12.75">
      <c r="B716" t="str">
        <f>"2356"</f>
        <v>2356</v>
      </c>
      <c r="C716" t="s">
        <v>255</v>
      </c>
      <c r="D716">
        <v>402007</v>
      </c>
      <c r="E716" t="s">
        <v>41</v>
      </c>
      <c r="F716">
        <v>420004</v>
      </c>
      <c r="G716" t="s">
        <v>25</v>
      </c>
      <c r="H716">
        <v>42</v>
      </c>
      <c r="I716" t="s">
        <v>101</v>
      </c>
      <c r="J716">
        <v>1</v>
      </c>
      <c r="K716" s="4">
        <v>16692</v>
      </c>
      <c r="L716" s="4">
        <v>16692</v>
      </c>
    </row>
    <row r="717" spans="2:12" ht="12.75">
      <c r="B717" t="str">
        <f aca="true" t="shared" si="38" ref="B717:B723">"2987"</f>
        <v>2987</v>
      </c>
      <c r="C717" t="s">
        <v>256</v>
      </c>
      <c r="D717">
        <v>402510</v>
      </c>
      <c r="E717" t="s">
        <v>12</v>
      </c>
      <c r="F717">
        <v>350004</v>
      </c>
      <c r="G717" t="s">
        <v>188</v>
      </c>
      <c r="H717">
        <v>35</v>
      </c>
      <c r="I717" t="s">
        <v>17</v>
      </c>
      <c r="J717">
        <v>1</v>
      </c>
      <c r="K717" s="4">
        <v>150000</v>
      </c>
      <c r="L717" s="4">
        <v>150000</v>
      </c>
    </row>
    <row r="718" spans="2:13" ht="12.75">
      <c r="B718" t="str">
        <f t="shared" si="38"/>
        <v>2987</v>
      </c>
      <c r="C718" t="s">
        <v>256</v>
      </c>
      <c r="D718">
        <v>402514</v>
      </c>
      <c r="E718" t="s">
        <v>45</v>
      </c>
      <c r="F718">
        <v>350011</v>
      </c>
      <c r="G718" t="s">
        <v>25</v>
      </c>
      <c r="H718">
        <v>35</v>
      </c>
      <c r="I718" t="s">
        <v>17</v>
      </c>
      <c r="J718">
        <v>1</v>
      </c>
      <c r="K718" s="4">
        <v>62000</v>
      </c>
      <c r="L718" s="4">
        <v>62000</v>
      </c>
      <c r="M718" t="s">
        <v>257</v>
      </c>
    </row>
    <row r="719" spans="2:13" ht="12.75">
      <c r="B719" t="str">
        <f t="shared" si="38"/>
        <v>2987</v>
      </c>
      <c r="C719" t="s">
        <v>256</v>
      </c>
      <c r="D719">
        <v>402515</v>
      </c>
      <c r="E719" t="s">
        <v>15</v>
      </c>
      <c r="F719">
        <v>350011</v>
      </c>
      <c r="G719" t="s">
        <v>25</v>
      </c>
      <c r="H719">
        <v>35</v>
      </c>
      <c r="I719" t="s">
        <v>17</v>
      </c>
      <c r="J719">
        <v>1</v>
      </c>
      <c r="K719" s="4">
        <v>88000</v>
      </c>
      <c r="L719" s="4">
        <v>88000</v>
      </c>
      <c r="M719" t="s">
        <v>258</v>
      </c>
    </row>
    <row r="720" spans="2:12" ht="12.75">
      <c r="B720" t="str">
        <f t="shared" si="38"/>
        <v>2987</v>
      </c>
      <c r="C720" t="s">
        <v>256</v>
      </c>
      <c r="D720">
        <v>420202</v>
      </c>
      <c r="E720" t="s">
        <v>19</v>
      </c>
      <c r="F720">
        <v>400006</v>
      </c>
      <c r="G720" t="s">
        <v>32</v>
      </c>
      <c r="H720">
        <v>40</v>
      </c>
      <c r="I720" t="s">
        <v>50</v>
      </c>
      <c r="J720">
        <v>1</v>
      </c>
      <c r="K720" s="4">
        <v>10000</v>
      </c>
      <c r="L720" s="4">
        <v>10000</v>
      </c>
    </row>
    <row r="721" spans="2:12" ht="12.75">
      <c r="B721" t="str">
        <f t="shared" si="38"/>
        <v>2987</v>
      </c>
      <c r="C721" t="s">
        <v>256</v>
      </c>
      <c r="D721">
        <v>420202</v>
      </c>
      <c r="E721" t="s">
        <v>19</v>
      </c>
      <c r="F721">
        <v>400023</v>
      </c>
      <c r="G721" t="s">
        <v>94</v>
      </c>
      <c r="H721">
        <v>40</v>
      </c>
      <c r="I721" t="s">
        <v>50</v>
      </c>
      <c r="J721">
        <v>1</v>
      </c>
      <c r="K721" s="4">
        <v>140000</v>
      </c>
      <c r="L721" s="4">
        <v>140000</v>
      </c>
    </row>
    <row r="722" spans="2:13" ht="12.75">
      <c r="B722" t="str">
        <f t="shared" si="38"/>
        <v>2987</v>
      </c>
      <c r="C722" t="s">
        <v>256</v>
      </c>
      <c r="D722">
        <v>420222</v>
      </c>
      <c r="E722" t="s">
        <v>60</v>
      </c>
      <c r="F722">
        <v>230003</v>
      </c>
      <c r="G722" t="s">
        <v>25</v>
      </c>
      <c r="H722">
        <v>23</v>
      </c>
      <c r="I722" t="s">
        <v>143</v>
      </c>
      <c r="J722">
        <v>1</v>
      </c>
      <c r="K722" s="4">
        <v>10000</v>
      </c>
      <c r="L722" s="4">
        <v>10000</v>
      </c>
      <c r="M722" t="s">
        <v>259</v>
      </c>
    </row>
    <row r="723" spans="2:12" ht="12.75">
      <c r="B723" t="str">
        <f t="shared" si="38"/>
        <v>2987</v>
      </c>
      <c r="C723" t="s">
        <v>256</v>
      </c>
      <c r="D723">
        <v>420704</v>
      </c>
      <c r="E723" t="s">
        <v>24</v>
      </c>
      <c r="F723">
        <v>310002</v>
      </c>
      <c r="G723" t="s">
        <v>86</v>
      </c>
      <c r="H723">
        <v>31</v>
      </c>
      <c r="I723" t="s">
        <v>26</v>
      </c>
      <c r="J723">
        <v>1</v>
      </c>
      <c r="K723" s="4">
        <v>20000</v>
      </c>
      <c r="L723" s="4">
        <v>20000</v>
      </c>
    </row>
    <row r="724" spans="2:12" ht="12.75">
      <c r="B724" t="str">
        <f aca="true" t="shared" si="39" ref="B724:B744">"7447"</f>
        <v>7447</v>
      </c>
      <c r="C724" t="s">
        <v>260</v>
      </c>
      <c r="D724">
        <v>402007</v>
      </c>
      <c r="E724" t="s">
        <v>41</v>
      </c>
      <c r="F724">
        <v>310007</v>
      </c>
      <c r="G724" t="s">
        <v>82</v>
      </c>
      <c r="H724">
        <v>31</v>
      </c>
      <c r="I724" t="s">
        <v>26</v>
      </c>
      <c r="J724">
        <v>1</v>
      </c>
      <c r="K724" s="4">
        <v>3257</v>
      </c>
      <c r="L724" s="4">
        <v>3257</v>
      </c>
    </row>
    <row r="725" spans="2:12" ht="12.75">
      <c r="B725" t="str">
        <f t="shared" si="39"/>
        <v>7447</v>
      </c>
      <c r="C725" t="s">
        <v>260</v>
      </c>
      <c r="D725">
        <v>402514</v>
      </c>
      <c r="E725" t="s">
        <v>45</v>
      </c>
      <c r="F725">
        <v>310007</v>
      </c>
      <c r="G725" t="s">
        <v>82</v>
      </c>
      <c r="H725">
        <v>31</v>
      </c>
      <c r="I725" t="s">
        <v>26</v>
      </c>
      <c r="J725">
        <v>1</v>
      </c>
      <c r="K725" s="4">
        <v>7929</v>
      </c>
      <c r="L725" s="4">
        <v>7929</v>
      </c>
    </row>
    <row r="726" spans="2:12" ht="12.75">
      <c r="B726" t="str">
        <f t="shared" si="39"/>
        <v>7447</v>
      </c>
      <c r="C726" t="s">
        <v>260</v>
      </c>
      <c r="D726">
        <v>402514</v>
      </c>
      <c r="E726" t="s">
        <v>45</v>
      </c>
      <c r="F726">
        <v>350007</v>
      </c>
      <c r="G726" t="s">
        <v>261</v>
      </c>
      <c r="H726">
        <v>35</v>
      </c>
      <c r="I726" t="s">
        <v>17</v>
      </c>
      <c r="J726">
        <v>1</v>
      </c>
      <c r="K726" s="4">
        <v>4173</v>
      </c>
      <c r="L726" s="4">
        <v>4173</v>
      </c>
    </row>
    <row r="727" spans="2:12" ht="12.75">
      <c r="B727" t="str">
        <f t="shared" si="39"/>
        <v>7447</v>
      </c>
      <c r="C727" t="s">
        <v>260</v>
      </c>
      <c r="D727">
        <v>402514</v>
      </c>
      <c r="E727" t="s">
        <v>45</v>
      </c>
      <c r="F727">
        <v>350008</v>
      </c>
      <c r="G727" t="s">
        <v>127</v>
      </c>
      <c r="H727">
        <v>35</v>
      </c>
      <c r="I727" t="s">
        <v>17</v>
      </c>
      <c r="J727">
        <v>1</v>
      </c>
      <c r="K727" s="4">
        <v>7000</v>
      </c>
      <c r="L727" s="4">
        <v>7000</v>
      </c>
    </row>
    <row r="728" spans="2:12" ht="12.75">
      <c r="B728" t="str">
        <f t="shared" si="39"/>
        <v>7447</v>
      </c>
      <c r="C728" t="s">
        <v>260</v>
      </c>
      <c r="D728">
        <v>402514</v>
      </c>
      <c r="E728" t="s">
        <v>45</v>
      </c>
      <c r="F728">
        <v>410005</v>
      </c>
      <c r="G728" t="s">
        <v>190</v>
      </c>
      <c r="H728">
        <v>41</v>
      </c>
      <c r="I728" t="s">
        <v>14</v>
      </c>
      <c r="J728">
        <v>1</v>
      </c>
      <c r="K728" s="4">
        <v>1743</v>
      </c>
      <c r="L728" s="4">
        <v>1743</v>
      </c>
    </row>
    <row r="729" spans="2:12" ht="12.75">
      <c r="B729" t="str">
        <f t="shared" si="39"/>
        <v>7447</v>
      </c>
      <c r="C729" t="s">
        <v>260</v>
      </c>
      <c r="D729">
        <v>402515</v>
      </c>
      <c r="E729" t="s">
        <v>15</v>
      </c>
      <c r="F729">
        <v>350001</v>
      </c>
      <c r="G729" t="s">
        <v>16</v>
      </c>
      <c r="H729">
        <v>35</v>
      </c>
      <c r="I729" t="s">
        <v>17</v>
      </c>
      <c r="J729">
        <v>1</v>
      </c>
      <c r="K729" s="4">
        <v>4173</v>
      </c>
      <c r="L729" s="4">
        <v>4173</v>
      </c>
    </row>
    <row r="730" spans="2:12" ht="12.75">
      <c r="B730" t="str">
        <f t="shared" si="39"/>
        <v>7447</v>
      </c>
      <c r="C730" t="s">
        <v>260</v>
      </c>
      <c r="D730">
        <v>402515</v>
      </c>
      <c r="E730" t="s">
        <v>15</v>
      </c>
      <c r="F730">
        <v>410003</v>
      </c>
      <c r="G730" t="s">
        <v>125</v>
      </c>
      <c r="H730">
        <v>41</v>
      </c>
      <c r="I730" t="s">
        <v>14</v>
      </c>
      <c r="J730">
        <v>1</v>
      </c>
      <c r="K730" s="4">
        <v>22000</v>
      </c>
      <c r="L730" s="4">
        <v>22000</v>
      </c>
    </row>
    <row r="731" spans="2:12" ht="12.75">
      <c r="B731" t="str">
        <f t="shared" si="39"/>
        <v>7447</v>
      </c>
      <c r="C731" t="s">
        <v>260</v>
      </c>
      <c r="D731">
        <v>402516</v>
      </c>
      <c r="E731" t="s">
        <v>109</v>
      </c>
      <c r="F731">
        <v>350006</v>
      </c>
      <c r="G731" t="s">
        <v>239</v>
      </c>
      <c r="H731">
        <v>35</v>
      </c>
      <c r="I731" t="s">
        <v>17</v>
      </c>
      <c r="J731">
        <v>1</v>
      </c>
      <c r="K731" s="4">
        <v>417</v>
      </c>
      <c r="L731" s="4">
        <v>417</v>
      </c>
    </row>
    <row r="732" spans="2:12" ht="12.75">
      <c r="B732" t="str">
        <f t="shared" si="39"/>
        <v>7447</v>
      </c>
      <c r="C732" t="s">
        <v>260</v>
      </c>
      <c r="D732">
        <v>402516</v>
      </c>
      <c r="E732" t="s">
        <v>109</v>
      </c>
      <c r="F732">
        <v>350010</v>
      </c>
      <c r="G732" t="s">
        <v>173</v>
      </c>
      <c r="H732">
        <v>35</v>
      </c>
      <c r="I732" t="s">
        <v>17</v>
      </c>
      <c r="J732">
        <v>1</v>
      </c>
      <c r="K732" s="4">
        <v>835</v>
      </c>
      <c r="L732" s="4">
        <v>835</v>
      </c>
    </row>
    <row r="733" spans="2:12" ht="12.75">
      <c r="B733" t="str">
        <f t="shared" si="39"/>
        <v>7447</v>
      </c>
      <c r="C733" t="s">
        <v>260</v>
      </c>
      <c r="D733">
        <v>420202</v>
      </c>
      <c r="E733" t="s">
        <v>19</v>
      </c>
      <c r="F733">
        <v>10002</v>
      </c>
      <c r="G733" t="s">
        <v>20</v>
      </c>
      <c r="H733">
        <v>1</v>
      </c>
      <c r="I733" t="s">
        <v>21</v>
      </c>
      <c r="J733">
        <v>15</v>
      </c>
      <c r="K733" s="4">
        <v>626</v>
      </c>
      <c r="L733" s="4">
        <v>9390</v>
      </c>
    </row>
    <row r="734" spans="2:12" ht="12.75">
      <c r="B734" t="str">
        <f t="shared" si="39"/>
        <v>7447</v>
      </c>
      <c r="C734" t="s">
        <v>260</v>
      </c>
      <c r="D734">
        <v>420202</v>
      </c>
      <c r="E734" t="s">
        <v>19</v>
      </c>
      <c r="F734">
        <v>20001</v>
      </c>
      <c r="G734" t="s">
        <v>29</v>
      </c>
      <c r="H734">
        <v>2</v>
      </c>
      <c r="I734" t="s">
        <v>30</v>
      </c>
      <c r="J734">
        <v>3</v>
      </c>
      <c r="K734" s="4">
        <v>1251</v>
      </c>
      <c r="L734" s="4">
        <v>3753</v>
      </c>
    </row>
    <row r="735" spans="2:12" ht="12.75">
      <c r="B735" t="str">
        <f t="shared" si="39"/>
        <v>7447</v>
      </c>
      <c r="C735" t="s">
        <v>260</v>
      </c>
      <c r="D735">
        <v>420202</v>
      </c>
      <c r="E735" t="s">
        <v>19</v>
      </c>
      <c r="F735">
        <v>40001</v>
      </c>
      <c r="G735" t="s">
        <v>59</v>
      </c>
      <c r="H735">
        <v>4</v>
      </c>
      <c r="I735" t="s">
        <v>23</v>
      </c>
      <c r="J735">
        <v>15</v>
      </c>
      <c r="K735" s="4">
        <v>209</v>
      </c>
      <c r="L735" s="4">
        <v>3135</v>
      </c>
    </row>
    <row r="736" spans="2:12" ht="12.75">
      <c r="B736" t="str">
        <f t="shared" si="39"/>
        <v>7447</v>
      </c>
      <c r="C736" t="s">
        <v>260</v>
      </c>
      <c r="D736">
        <v>420202</v>
      </c>
      <c r="E736" t="s">
        <v>19</v>
      </c>
      <c r="F736">
        <v>60002</v>
      </c>
      <c r="G736" t="s">
        <v>31</v>
      </c>
      <c r="H736">
        <v>6</v>
      </c>
      <c r="I736" t="s">
        <v>32</v>
      </c>
      <c r="J736">
        <v>4</v>
      </c>
      <c r="K736" s="4">
        <v>1200</v>
      </c>
      <c r="L736" s="4">
        <v>4800</v>
      </c>
    </row>
    <row r="737" spans="2:12" ht="12.75">
      <c r="B737" t="str">
        <f t="shared" si="39"/>
        <v>7447</v>
      </c>
      <c r="C737" t="s">
        <v>260</v>
      </c>
      <c r="D737">
        <v>420222</v>
      </c>
      <c r="E737" t="s">
        <v>60</v>
      </c>
      <c r="F737">
        <v>240003</v>
      </c>
      <c r="G737" t="s">
        <v>117</v>
      </c>
      <c r="H737">
        <v>24</v>
      </c>
      <c r="I737" t="s">
        <v>118</v>
      </c>
      <c r="J737">
        <v>1</v>
      </c>
      <c r="K737" s="4">
        <v>39000</v>
      </c>
      <c r="L737" s="4">
        <v>39000</v>
      </c>
    </row>
    <row r="738" spans="2:13" ht="12.75">
      <c r="B738" t="str">
        <f t="shared" si="39"/>
        <v>7447</v>
      </c>
      <c r="C738" t="s">
        <v>260</v>
      </c>
      <c r="D738">
        <v>420238</v>
      </c>
      <c r="E738" t="s">
        <v>34</v>
      </c>
      <c r="F738">
        <v>30005</v>
      </c>
      <c r="G738" t="s">
        <v>25</v>
      </c>
      <c r="H738">
        <v>3</v>
      </c>
      <c r="I738" t="s">
        <v>78</v>
      </c>
      <c r="J738">
        <v>20</v>
      </c>
      <c r="K738" s="4">
        <v>50</v>
      </c>
      <c r="L738" s="4">
        <v>1000</v>
      </c>
      <c r="M738" t="s">
        <v>262</v>
      </c>
    </row>
    <row r="739" spans="2:12" ht="12.75">
      <c r="B739" t="str">
        <f t="shared" si="39"/>
        <v>7447</v>
      </c>
      <c r="C739" t="s">
        <v>260</v>
      </c>
      <c r="D739">
        <v>420248</v>
      </c>
      <c r="E739" t="s">
        <v>36</v>
      </c>
      <c r="F739">
        <v>120001</v>
      </c>
      <c r="G739" t="s">
        <v>114</v>
      </c>
      <c r="H739">
        <v>12</v>
      </c>
      <c r="I739" t="s">
        <v>38</v>
      </c>
      <c r="J739">
        <v>7</v>
      </c>
      <c r="K739" s="4">
        <v>3800</v>
      </c>
      <c r="L739" s="4">
        <v>26600</v>
      </c>
    </row>
    <row r="740" spans="2:12" ht="12.75">
      <c r="B740" t="str">
        <f t="shared" si="39"/>
        <v>7447</v>
      </c>
      <c r="C740" t="s">
        <v>260</v>
      </c>
      <c r="D740">
        <v>420703</v>
      </c>
      <c r="E740" t="s">
        <v>51</v>
      </c>
      <c r="F740">
        <v>310008</v>
      </c>
      <c r="G740" t="s">
        <v>148</v>
      </c>
      <c r="H740">
        <v>31</v>
      </c>
      <c r="I740" t="s">
        <v>26</v>
      </c>
      <c r="J740">
        <v>1</v>
      </c>
      <c r="K740" s="4">
        <v>14605</v>
      </c>
      <c r="L740" s="4">
        <v>14605</v>
      </c>
    </row>
    <row r="741" spans="2:12" ht="12.75">
      <c r="B741" t="str">
        <f t="shared" si="39"/>
        <v>7447</v>
      </c>
      <c r="C741" t="s">
        <v>260</v>
      </c>
      <c r="D741">
        <v>420704</v>
      </c>
      <c r="E741" t="s">
        <v>24</v>
      </c>
      <c r="F741">
        <v>310002</v>
      </c>
      <c r="G741" t="s">
        <v>86</v>
      </c>
      <c r="H741">
        <v>31</v>
      </c>
      <c r="I741" t="s">
        <v>26</v>
      </c>
      <c r="J741">
        <v>1</v>
      </c>
      <c r="K741" s="4">
        <v>53080</v>
      </c>
      <c r="L741" s="4">
        <v>53080</v>
      </c>
    </row>
    <row r="742" spans="2:12" ht="12.75">
      <c r="B742" t="str">
        <f t="shared" si="39"/>
        <v>7447</v>
      </c>
      <c r="C742" t="s">
        <v>260</v>
      </c>
      <c r="D742">
        <v>420806</v>
      </c>
      <c r="E742" t="s">
        <v>122</v>
      </c>
      <c r="F742">
        <v>360001</v>
      </c>
      <c r="G742" t="s">
        <v>263</v>
      </c>
      <c r="H742">
        <v>36</v>
      </c>
      <c r="I742" t="s">
        <v>124</v>
      </c>
      <c r="J742">
        <v>1</v>
      </c>
      <c r="K742" s="4">
        <v>6942</v>
      </c>
      <c r="L742" s="4">
        <v>6942</v>
      </c>
    </row>
    <row r="743" spans="2:12" ht="12.75">
      <c r="B743" t="str">
        <f t="shared" si="39"/>
        <v>7447</v>
      </c>
      <c r="C743" t="s">
        <v>260</v>
      </c>
      <c r="D743">
        <v>420806</v>
      </c>
      <c r="E743" t="s">
        <v>122</v>
      </c>
      <c r="F743">
        <v>370001</v>
      </c>
      <c r="G743" t="s">
        <v>133</v>
      </c>
      <c r="H743">
        <v>37</v>
      </c>
      <c r="I743" t="s">
        <v>134</v>
      </c>
      <c r="J743">
        <v>1</v>
      </c>
      <c r="K743" s="4">
        <v>3755</v>
      </c>
      <c r="L743" s="4">
        <v>3755</v>
      </c>
    </row>
    <row r="744" spans="2:12" ht="12.75">
      <c r="B744" t="str">
        <f t="shared" si="39"/>
        <v>7447</v>
      </c>
      <c r="C744" t="s">
        <v>260</v>
      </c>
      <c r="D744">
        <v>420806</v>
      </c>
      <c r="E744" t="s">
        <v>122</v>
      </c>
      <c r="F744">
        <v>380001</v>
      </c>
      <c r="G744" t="s">
        <v>25</v>
      </c>
      <c r="H744">
        <v>38</v>
      </c>
      <c r="I744" t="s">
        <v>264</v>
      </c>
      <c r="J744">
        <v>1</v>
      </c>
      <c r="K744" s="4">
        <v>312.79</v>
      </c>
      <c r="L744" s="4">
        <v>312.79</v>
      </c>
    </row>
    <row r="745" spans="1:2" ht="12.75">
      <c r="A745" t="s">
        <v>47</v>
      </c>
      <c r="B745">
        <f>SUM(L707:L744)</f>
        <v>1737341.79</v>
      </c>
    </row>
    <row r="747" ht="12.75">
      <c r="A747" t="str">
        <f>"2020 - Uprava RS za izvrševanje kazenskih sankcij, verzija: 1"</f>
        <v>2020 - Uprava RS za izvrševanje kazenskih sankcij, verzija: 1</v>
      </c>
    </row>
    <row r="748" spans="2:13" ht="12.75">
      <c r="B748" t="s">
        <v>3</v>
      </c>
      <c r="D748" t="s">
        <v>4</v>
      </c>
      <c r="F748" t="s">
        <v>5</v>
      </c>
      <c r="H748" t="s">
        <v>6</v>
      </c>
      <c r="J748" t="s">
        <v>7</v>
      </c>
      <c r="K748" s="4" t="s">
        <v>8</v>
      </c>
      <c r="L748" s="4" t="s">
        <v>9</v>
      </c>
      <c r="M748" t="s">
        <v>10</v>
      </c>
    </row>
    <row r="749" spans="2:12" ht="12.75">
      <c r="B749" t="str">
        <f aca="true" t="shared" si="40" ref="B749:B756">"2876"</f>
        <v>2876</v>
      </c>
      <c r="C749" t="s">
        <v>27</v>
      </c>
      <c r="D749">
        <v>420202</v>
      </c>
      <c r="E749" t="s">
        <v>19</v>
      </c>
      <c r="F749">
        <v>10002</v>
      </c>
      <c r="G749" t="s">
        <v>20</v>
      </c>
      <c r="H749">
        <v>1</v>
      </c>
      <c r="I749" t="s">
        <v>21</v>
      </c>
      <c r="J749">
        <v>56</v>
      </c>
      <c r="K749" s="4">
        <v>732.14</v>
      </c>
      <c r="L749" s="4">
        <v>40999.84</v>
      </c>
    </row>
    <row r="750" spans="2:12" ht="12.75">
      <c r="B750" t="str">
        <f t="shared" si="40"/>
        <v>2876</v>
      </c>
      <c r="C750" t="s">
        <v>27</v>
      </c>
      <c r="D750">
        <v>420202</v>
      </c>
      <c r="E750" t="s">
        <v>19</v>
      </c>
      <c r="F750">
        <v>40001</v>
      </c>
      <c r="G750" t="s">
        <v>59</v>
      </c>
      <c r="H750">
        <v>4</v>
      </c>
      <c r="I750" t="s">
        <v>23</v>
      </c>
      <c r="J750">
        <v>56</v>
      </c>
      <c r="K750" s="4">
        <v>232.14</v>
      </c>
      <c r="L750" s="4">
        <v>12999.84</v>
      </c>
    </row>
    <row r="751" spans="2:12" ht="12.75">
      <c r="B751" t="str">
        <f t="shared" si="40"/>
        <v>2876</v>
      </c>
      <c r="C751" t="s">
        <v>27</v>
      </c>
      <c r="D751">
        <v>420202</v>
      </c>
      <c r="E751" t="s">
        <v>19</v>
      </c>
      <c r="F751">
        <v>60002</v>
      </c>
      <c r="G751" t="s">
        <v>31</v>
      </c>
      <c r="H751">
        <v>6</v>
      </c>
      <c r="I751" t="s">
        <v>32</v>
      </c>
      <c r="J751">
        <v>12</v>
      </c>
      <c r="K751" s="4">
        <v>333.33</v>
      </c>
      <c r="L751" s="4">
        <v>3999.96</v>
      </c>
    </row>
    <row r="752" spans="2:12" ht="12.75">
      <c r="B752" t="str">
        <f t="shared" si="40"/>
        <v>2876</v>
      </c>
      <c r="C752" t="s">
        <v>27</v>
      </c>
      <c r="D752">
        <v>420202</v>
      </c>
      <c r="E752" t="s">
        <v>19</v>
      </c>
      <c r="F752">
        <v>60002</v>
      </c>
      <c r="G752" t="s">
        <v>31</v>
      </c>
      <c r="H752">
        <v>6</v>
      </c>
      <c r="I752" t="s">
        <v>32</v>
      </c>
      <c r="J752">
        <v>8</v>
      </c>
      <c r="K752" s="4">
        <v>1125</v>
      </c>
      <c r="L752" s="4">
        <v>9000</v>
      </c>
    </row>
    <row r="753" spans="2:12" ht="12.75">
      <c r="B753" t="str">
        <f t="shared" si="40"/>
        <v>2876</v>
      </c>
      <c r="C753" t="s">
        <v>27</v>
      </c>
      <c r="D753">
        <v>420222</v>
      </c>
      <c r="E753" t="s">
        <v>60</v>
      </c>
      <c r="F753">
        <v>230002</v>
      </c>
      <c r="G753" t="s">
        <v>214</v>
      </c>
      <c r="H753">
        <v>23</v>
      </c>
      <c r="I753" t="s">
        <v>143</v>
      </c>
      <c r="J753">
        <v>2</v>
      </c>
      <c r="K753" s="4">
        <v>5000</v>
      </c>
      <c r="L753" s="4">
        <v>10000</v>
      </c>
    </row>
    <row r="754" spans="2:12" ht="12.75">
      <c r="B754" t="str">
        <f t="shared" si="40"/>
        <v>2876</v>
      </c>
      <c r="C754" t="s">
        <v>27</v>
      </c>
      <c r="D754">
        <v>420248</v>
      </c>
      <c r="E754" t="s">
        <v>36</v>
      </c>
      <c r="F754">
        <v>120001</v>
      </c>
      <c r="G754" t="s">
        <v>114</v>
      </c>
      <c r="H754">
        <v>12</v>
      </c>
      <c r="I754" t="s">
        <v>38</v>
      </c>
      <c r="J754">
        <v>12</v>
      </c>
      <c r="K754" s="4">
        <v>917</v>
      </c>
      <c r="L754" s="4">
        <v>11004</v>
      </c>
    </row>
    <row r="755" spans="2:12" ht="12.75">
      <c r="B755" t="str">
        <f t="shared" si="40"/>
        <v>2876</v>
      </c>
      <c r="C755" t="s">
        <v>27</v>
      </c>
      <c r="D755">
        <v>420703</v>
      </c>
      <c r="E755" t="s">
        <v>51</v>
      </c>
      <c r="F755">
        <v>310005</v>
      </c>
      <c r="G755" t="s">
        <v>46</v>
      </c>
      <c r="H755">
        <v>31</v>
      </c>
      <c r="I755" t="s">
        <v>26</v>
      </c>
      <c r="J755">
        <v>58</v>
      </c>
      <c r="K755" s="4">
        <v>362.07</v>
      </c>
      <c r="L755" s="4">
        <v>21000.06</v>
      </c>
    </row>
    <row r="756" spans="2:12" ht="12.75">
      <c r="B756" t="str">
        <f t="shared" si="40"/>
        <v>2876</v>
      </c>
      <c r="C756" t="s">
        <v>27</v>
      </c>
      <c r="D756">
        <v>420704</v>
      </c>
      <c r="E756" t="s">
        <v>24</v>
      </c>
      <c r="F756">
        <v>410004</v>
      </c>
      <c r="G756" t="s">
        <v>265</v>
      </c>
      <c r="H756">
        <v>41</v>
      </c>
      <c r="I756" t="s">
        <v>14</v>
      </c>
      <c r="J756">
        <v>1</v>
      </c>
      <c r="K756" s="4">
        <v>36973.3</v>
      </c>
      <c r="L756" s="4">
        <v>36973.3</v>
      </c>
    </row>
    <row r="757" spans="1:2" ht="12.75">
      <c r="A757" t="s">
        <v>47</v>
      </c>
      <c r="B757">
        <f>SUM(L749:L756)</f>
        <v>145977</v>
      </c>
    </row>
    <row r="759" ht="12.75">
      <c r="A759" t="str">
        <f>"4111 - Vrhovno sodišče RS, verzija: 1"</f>
        <v>4111 - Vrhovno sodišče RS, verzija: 1</v>
      </c>
    </row>
    <row r="760" spans="2:13" ht="12.75">
      <c r="B760" t="s">
        <v>3</v>
      </c>
      <c r="D760" t="s">
        <v>4</v>
      </c>
      <c r="F760" t="s">
        <v>5</v>
      </c>
      <c r="H760" t="s">
        <v>6</v>
      </c>
      <c r="J760" t="s">
        <v>7</v>
      </c>
      <c r="K760" s="4" t="s">
        <v>8</v>
      </c>
      <c r="L760" s="4" t="s">
        <v>9</v>
      </c>
      <c r="M760" t="s">
        <v>10</v>
      </c>
    </row>
    <row r="761" spans="2:12" ht="12.75">
      <c r="B761" t="str">
        <f aca="true" t="shared" si="41" ref="B761:B770">"7433"</f>
        <v>7433</v>
      </c>
      <c r="C761" t="s">
        <v>266</v>
      </c>
      <c r="D761">
        <v>402011</v>
      </c>
      <c r="E761" t="s">
        <v>54</v>
      </c>
      <c r="F761">
        <v>320001</v>
      </c>
      <c r="G761" t="s">
        <v>267</v>
      </c>
      <c r="H761">
        <v>32</v>
      </c>
      <c r="I761" t="s">
        <v>172</v>
      </c>
      <c r="J761">
        <v>1</v>
      </c>
      <c r="K761" s="4">
        <v>35000</v>
      </c>
      <c r="L761" s="4">
        <v>35000</v>
      </c>
    </row>
    <row r="762" spans="2:12" ht="12.75">
      <c r="B762" t="str">
        <f t="shared" si="41"/>
        <v>7433</v>
      </c>
      <c r="C762" t="s">
        <v>266</v>
      </c>
      <c r="D762">
        <v>402011</v>
      </c>
      <c r="E762" t="s">
        <v>54</v>
      </c>
      <c r="F762">
        <v>320001</v>
      </c>
      <c r="G762" t="s">
        <v>267</v>
      </c>
      <c r="H762">
        <v>32</v>
      </c>
      <c r="I762" t="s">
        <v>172</v>
      </c>
      <c r="J762">
        <v>1</v>
      </c>
      <c r="K762" s="4">
        <v>50000</v>
      </c>
      <c r="L762" s="4">
        <v>50000</v>
      </c>
    </row>
    <row r="763" spans="2:13" ht="409.5">
      <c r="B763" t="str">
        <f t="shared" si="41"/>
        <v>7433</v>
      </c>
      <c r="C763" t="s">
        <v>266</v>
      </c>
      <c r="D763">
        <v>402513</v>
      </c>
      <c r="E763" t="s">
        <v>85</v>
      </c>
      <c r="F763">
        <v>410001</v>
      </c>
      <c r="G763" t="s">
        <v>13</v>
      </c>
      <c r="H763">
        <v>41</v>
      </c>
      <c r="I763" t="s">
        <v>14</v>
      </c>
      <c r="J763">
        <v>1</v>
      </c>
      <c r="K763" s="4">
        <v>150000</v>
      </c>
      <c r="L763" s="4">
        <v>150000</v>
      </c>
      <c r="M763" s="1" t="s">
        <v>268</v>
      </c>
    </row>
    <row r="764" spans="2:13" ht="12.75">
      <c r="B764" t="str">
        <f t="shared" si="41"/>
        <v>7433</v>
      </c>
      <c r="C764" t="s">
        <v>266</v>
      </c>
      <c r="D764">
        <v>402514</v>
      </c>
      <c r="E764" t="s">
        <v>45</v>
      </c>
      <c r="F764">
        <v>310006</v>
      </c>
      <c r="G764" t="s">
        <v>204</v>
      </c>
      <c r="H764">
        <v>31</v>
      </c>
      <c r="I764" t="s">
        <v>26</v>
      </c>
      <c r="J764">
        <v>1</v>
      </c>
      <c r="K764" s="4">
        <v>20000</v>
      </c>
      <c r="L764" s="4">
        <v>20000</v>
      </c>
      <c r="M764" t="s">
        <v>269</v>
      </c>
    </row>
    <row r="765" spans="2:12" ht="12.75">
      <c r="B765" t="str">
        <f t="shared" si="41"/>
        <v>7433</v>
      </c>
      <c r="C765" t="s">
        <v>266</v>
      </c>
      <c r="D765">
        <v>420202</v>
      </c>
      <c r="E765" t="s">
        <v>19</v>
      </c>
      <c r="F765">
        <v>10003</v>
      </c>
      <c r="G765" t="s">
        <v>28</v>
      </c>
      <c r="H765">
        <v>1</v>
      </c>
      <c r="I765" t="s">
        <v>21</v>
      </c>
      <c r="J765">
        <v>50</v>
      </c>
      <c r="K765" s="4">
        <v>1000</v>
      </c>
      <c r="L765" s="4">
        <v>50000</v>
      </c>
    </row>
    <row r="766" spans="2:12" ht="12.75">
      <c r="B766" t="str">
        <f t="shared" si="41"/>
        <v>7433</v>
      </c>
      <c r="C766" t="s">
        <v>266</v>
      </c>
      <c r="D766">
        <v>420202</v>
      </c>
      <c r="E766" t="s">
        <v>19</v>
      </c>
      <c r="F766">
        <v>60002</v>
      </c>
      <c r="G766" t="s">
        <v>31</v>
      </c>
      <c r="H766">
        <v>6</v>
      </c>
      <c r="I766" t="s">
        <v>32</v>
      </c>
      <c r="J766">
        <v>40</v>
      </c>
      <c r="K766" s="4">
        <v>1000</v>
      </c>
      <c r="L766" s="4">
        <v>40000</v>
      </c>
    </row>
    <row r="767" spans="2:12" ht="12.75">
      <c r="B767" t="str">
        <f t="shared" si="41"/>
        <v>7433</v>
      </c>
      <c r="C767" t="s">
        <v>266</v>
      </c>
      <c r="D767">
        <v>420222</v>
      </c>
      <c r="E767" t="s">
        <v>60</v>
      </c>
      <c r="F767">
        <v>230001</v>
      </c>
      <c r="G767" t="s">
        <v>236</v>
      </c>
      <c r="H767">
        <v>23</v>
      </c>
      <c r="I767" t="s">
        <v>143</v>
      </c>
      <c r="J767">
        <v>2</v>
      </c>
      <c r="K767" s="4">
        <v>15000</v>
      </c>
      <c r="L767" s="4">
        <v>30000</v>
      </c>
    </row>
    <row r="768" spans="2:13" ht="12.75">
      <c r="B768" t="str">
        <f t="shared" si="41"/>
        <v>7433</v>
      </c>
      <c r="C768" t="s">
        <v>266</v>
      </c>
      <c r="D768">
        <v>420249</v>
      </c>
      <c r="E768" t="s">
        <v>39</v>
      </c>
      <c r="F768">
        <v>290018</v>
      </c>
      <c r="G768" t="s">
        <v>25</v>
      </c>
      <c r="H768">
        <v>29</v>
      </c>
      <c r="I768" t="s">
        <v>142</v>
      </c>
      <c r="J768">
        <v>1</v>
      </c>
      <c r="K768" s="4">
        <v>10000</v>
      </c>
      <c r="L768" s="4">
        <v>10000</v>
      </c>
      <c r="M768" t="s">
        <v>270</v>
      </c>
    </row>
    <row r="769" spans="2:13" ht="12.75">
      <c r="B769" t="str">
        <f t="shared" si="41"/>
        <v>7433</v>
      </c>
      <c r="C769" t="s">
        <v>266</v>
      </c>
      <c r="D769">
        <v>420703</v>
      </c>
      <c r="E769" t="s">
        <v>51</v>
      </c>
      <c r="F769">
        <v>310009</v>
      </c>
      <c r="G769" t="s">
        <v>25</v>
      </c>
      <c r="H769">
        <v>31</v>
      </c>
      <c r="I769" t="s">
        <v>26</v>
      </c>
      <c r="J769">
        <v>1</v>
      </c>
      <c r="K769" s="4">
        <v>50000</v>
      </c>
      <c r="L769" s="4">
        <v>50000</v>
      </c>
      <c r="M769" t="s">
        <v>271</v>
      </c>
    </row>
    <row r="770" spans="2:13" ht="12.75">
      <c r="B770" t="str">
        <f t="shared" si="41"/>
        <v>7433</v>
      </c>
      <c r="C770" t="s">
        <v>266</v>
      </c>
      <c r="D770">
        <v>420704</v>
      </c>
      <c r="E770" t="s">
        <v>24</v>
      </c>
      <c r="F770">
        <v>370001</v>
      </c>
      <c r="G770" t="s">
        <v>133</v>
      </c>
      <c r="H770">
        <v>37</v>
      </c>
      <c r="I770" t="s">
        <v>134</v>
      </c>
      <c r="J770">
        <v>1</v>
      </c>
      <c r="K770" s="4">
        <v>85000</v>
      </c>
      <c r="L770" s="4">
        <v>85000</v>
      </c>
      <c r="M770" t="e">
        <f>-razvoj dodatnih funkcionalnosti sistema za elektronsko vlaganje in sistema za digitalizacijo papirnatih dokumentov za potrebe poslovanja Centralnega oddelka za verodostojno listino (CoVL)-nadgradnja Centralnega informacijskega sistema za spremljanje izvršilnih postopkov I-vpisnik</f>
        <v>#NAME?</v>
      </c>
    </row>
    <row r="771" spans="2:12" ht="12.75">
      <c r="B771" t="str">
        <f aca="true" t="shared" si="42" ref="B771:B788">"7949"</f>
        <v>7949</v>
      </c>
      <c r="C771" t="s">
        <v>272</v>
      </c>
      <c r="D771">
        <v>402007</v>
      </c>
      <c r="E771" t="s">
        <v>41</v>
      </c>
      <c r="F771">
        <v>360008</v>
      </c>
      <c r="G771" t="s">
        <v>183</v>
      </c>
      <c r="H771">
        <v>36</v>
      </c>
      <c r="I771" t="s">
        <v>124</v>
      </c>
      <c r="J771">
        <v>1</v>
      </c>
      <c r="K771" s="4">
        <v>200000</v>
      </c>
      <c r="L771" s="4">
        <v>200000</v>
      </c>
    </row>
    <row r="772" spans="2:13" ht="409.5">
      <c r="B772" t="str">
        <f t="shared" si="42"/>
        <v>7949</v>
      </c>
      <c r="C772" t="s">
        <v>272</v>
      </c>
      <c r="D772">
        <v>402007</v>
      </c>
      <c r="E772" t="s">
        <v>41</v>
      </c>
      <c r="F772">
        <v>440002</v>
      </c>
      <c r="G772" t="s">
        <v>155</v>
      </c>
      <c r="H772">
        <v>44</v>
      </c>
      <c r="I772" t="s">
        <v>99</v>
      </c>
      <c r="J772">
        <v>1</v>
      </c>
      <c r="K772" s="4">
        <v>250000</v>
      </c>
      <c r="L772" s="4">
        <v>250000</v>
      </c>
      <c r="M772" s="1" t="s">
        <v>273</v>
      </c>
    </row>
    <row r="773" spans="2:13" ht="409.5">
      <c r="B773" t="str">
        <f t="shared" si="42"/>
        <v>7949</v>
      </c>
      <c r="C773" t="s">
        <v>272</v>
      </c>
      <c r="D773">
        <v>402510</v>
      </c>
      <c r="E773" t="s">
        <v>12</v>
      </c>
      <c r="F773">
        <v>350003</v>
      </c>
      <c r="G773" t="s">
        <v>44</v>
      </c>
      <c r="H773">
        <v>35</v>
      </c>
      <c r="I773" t="s">
        <v>17</v>
      </c>
      <c r="J773">
        <v>1</v>
      </c>
      <c r="K773" s="4">
        <v>250000</v>
      </c>
      <c r="L773" s="4">
        <v>250000</v>
      </c>
      <c r="M773" s="1" t="s">
        <v>274</v>
      </c>
    </row>
    <row r="774" spans="2:13" ht="409.5">
      <c r="B774" t="str">
        <f t="shared" si="42"/>
        <v>7949</v>
      </c>
      <c r="C774" t="s">
        <v>272</v>
      </c>
      <c r="D774">
        <v>402513</v>
      </c>
      <c r="E774" t="s">
        <v>85</v>
      </c>
      <c r="F774">
        <v>410001</v>
      </c>
      <c r="G774" t="s">
        <v>13</v>
      </c>
      <c r="H774">
        <v>41</v>
      </c>
      <c r="I774" t="s">
        <v>14</v>
      </c>
      <c r="J774">
        <v>1</v>
      </c>
      <c r="K774" s="4">
        <v>300000</v>
      </c>
      <c r="L774" s="4">
        <v>300000</v>
      </c>
      <c r="M774" s="2" t="s">
        <v>275</v>
      </c>
    </row>
    <row r="775" spans="2:13" ht="242.25">
      <c r="B775" t="str">
        <f t="shared" si="42"/>
        <v>7949</v>
      </c>
      <c r="C775" t="s">
        <v>272</v>
      </c>
      <c r="D775">
        <v>402514</v>
      </c>
      <c r="E775" t="s">
        <v>45</v>
      </c>
      <c r="F775">
        <v>310006</v>
      </c>
      <c r="G775" t="s">
        <v>204</v>
      </c>
      <c r="H775">
        <v>31</v>
      </c>
      <c r="I775" t="s">
        <v>26</v>
      </c>
      <c r="J775">
        <v>1</v>
      </c>
      <c r="K775" s="4">
        <v>175000</v>
      </c>
      <c r="L775" s="4">
        <v>175000</v>
      </c>
      <c r="M775" s="1" t="s">
        <v>276</v>
      </c>
    </row>
    <row r="776" spans="2:13" ht="12.75">
      <c r="B776" t="str">
        <f t="shared" si="42"/>
        <v>7949</v>
      </c>
      <c r="C776" t="s">
        <v>272</v>
      </c>
      <c r="D776">
        <v>402515</v>
      </c>
      <c r="E776" t="s">
        <v>15</v>
      </c>
      <c r="F776">
        <v>350001</v>
      </c>
      <c r="G776" t="s">
        <v>16</v>
      </c>
      <c r="H776">
        <v>35</v>
      </c>
      <c r="I776" t="s">
        <v>17</v>
      </c>
      <c r="J776">
        <v>1</v>
      </c>
      <c r="K776" s="4">
        <v>20000</v>
      </c>
      <c r="L776" s="4">
        <v>20000</v>
      </c>
      <c r="M776" t="s">
        <v>277</v>
      </c>
    </row>
    <row r="777" spans="2:13" ht="12.75">
      <c r="B777" t="str">
        <f t="shared" si="42"/>
        <v>7949</v>
      </c>
      <c r="C777" t="s">
        <v>272</v>
      </c>
      <c r="D777">
        <v>420202</v>
      </c>
      <c r="E777" t="s">
        <v>19</v>
      </c>
      <c r="F777">
        <v>10002</v>
      </c>
      <c r="G777" t="s">
        <v>20</v>
      </c>
      <c r="H777">
        <v>1</v>
      </c>
      <c r="I777" t="s">
        <v>21</v>
      </c>
      <c r="J777">
        <v>1200</v>
      </c>
      <c r="K777" s="4">
        <v>650</v>
      </c>
      <c r="L777" s="4">
        <v>780000</v>
      </c>
      <c r="M777" t="s">
        <v>278</v>
      </c>
    </row>
    <row r="778" spans="2:13" ht="12.75">
      <c r="B778" t="str">
        <f t="shared" si="42"/>
        <v>7949</v>
      </c>
      <c r="C778" t="s">
        <v>272</v>
      </c>
      <c r="D778">
        <v>420202</v>
      </c>
      <c r="E778" t="s">
        <v>19</v>
      </c>
      <c r="F778">
        <v>60002</v>
      </c>
      <c r="G778" t="s">
        <v>31</v>
      </c>
      <c r="H778">
        <v>6</v>
      </c>
      <c r="I778" t="s">
        <v>32</v>
      </c>
      <c r="J778">
        <v>750</v>
      </c>
      <c r="K778" s="4">
        <v>700</v>
      </c>
      <c r="L778" s="4">
        <v>525000</v>
      </c>
      <c r="M778" t="s">
        <v>279</v>
      </c>
    </row>
    <row r="779" spans="2:12" ht="12.75">
      <c r="B779" t="str">
        <f t="shared" si="42"/>
        <v>7949</v>
      </c>
      <c r="C779" t="s">
        <v>272</v>
      </c>
      <c r="D779">
        <v>420222</v>
      </c>
      <c r="E779" t="s">
        <v>60</v>
      </c>
      <c r="F779">
        <v>230001</v>
      </c>
      <c r="G779" t="s">
        <v>236</v>
      </c>
      <c r="H779">
        <v>23</v>
      </c>
      <c r="I779" t="s">
        <v>143</v>
      </c>
      <c r="J779">
        <v>6</v>
      </c>
      <c r="K779" s="4">
        <v>25000</v>
      </c>
      <c r="L779" s="4">
        <v>150000</v>
      </c>
    </row>
    <row r="780" spans="2:13" ht="12.75">
      <c r="B780" t="str">
        <f t="shared" si="42"/>
        <v>7949</v>
      </c>
      <c r="C780" t="s">
        <v>272</v>
      </c>
      <c r="D780">
        <v>420222</v>
      </c>
      <c r="E780" t="s">
        <v>60</v>
      </c>
      <c r="F780">
        <v>230002</v>
      </c>
      <c r="G780" t="s">
        <v>214</v>
      </c>
      <c r="H780">
        <v>23</v>
      </c>
      <c r="I780" t="s">
        <v>143</v>
      </c>
      <c r="J780">
        <v>25</v>
      </c>
      <c r="K780" s="4">
        <v>2000</v>
      </c>
      <c r="L780" s="4">
        <v>50000</v>
      </c>
      <c r="M780" t="s">
        <v>280</v>
      </c>
    </row>
    <row r="781" spans="2:12" ht="12.75">
      <c r="B781" t="str">
        <f t="shared" si="42"/>
        <v>7949</v>
      </c>
      <c r="C781" t="s">
        <v>272</v>
      </c>
      <c r="D781">
        <v>420222</v>
      </c>
      <c r="E781" t="s">
        <v>60</v>
      </c>
      <c r="F781">
        <v>240003</v>
      </c>
      <c r="G781" t="s">
        <v>117</v>
      </c>
      <c r="H781">
        <v>24</v>
      </c>
      <c r="I781" t="s">
        <v>118</v>
      </c>
      <c r="J781">
        <v>1</v>
      </c>
      <c r="K781" s="4">
        <v>50000</v>
      </c>
      <c r="L781" s="4">
        <v>50000</v>
      </c>
    </row>
    <row r="782" spans="2:13" ht="191.25">
      <c r="B782" t="str">
        <f t="shared" si="42"/>
        <v>7949</v>
      </c>
      <c r="C782" t="s">
        <v>272</v>
      </c>
      <c r="D782">
        <v>420248</v>
      </c>
      <c r="E782" t="s">
        <v>36</v>
      </c>
      <c r="F782">
        <v>120007</v>
      </c>
      <c r="G782" t="s">
        <v>25</v>
      </c>
      <c r="H782">
        <v>12</v>
      </c>
      <c r="I782" t="s">
        <v>38</v>
      </c>
      <c r="J782">
        <v>1</v>
      </c>
      <c r="K782" s="4">
        <v>100000</v>
      </c>
      <c r="L782" s="4">
        <v>100000</v>
      </c>
      <c r="M782" s="1" t="s">
        <v>281</v>
      </c>
    </row>
    <row r="783" spans="2:12" ht="12.75">
      <c r="B783" t="str">
        <f t="shared" si="42"/>
        <v>7949</v>
      </c>
      <c r="C783" t="s">
        <v>272</v>
      </c>
      <c r="D783">
        <v>420249</v>
      </c>
      <c r="E783" t="s">
        <v>39</v>
      </c>
      <c r="F783">
        <v>250001</v>
      </c>
      <c r="G783" t="s">
        <v>225</v>
      </c>
      <c r="H783">
        <v>25</v>
      </c>
      <c r="I783" t="s">
        <v>120</v>
      </c>
      <c r="J783">
        <v>25</v>
      </c>
      <c r="K783" s="4">
        <v>1000</v>
      </c>
      <c r="L783" s="4">
        <v>25000</v>
      </c>
    </row>
    <row r="784" spans="2:12" ht="12.75">
      <c r="B784" t="str">
        <f t="shared" si="42"/>
        <v>7949</v>
      </c>
      <c r="C784" t="s">
        <v>272</v>
      </c>
      <c r="D784">
        <v>420249</v>
      </c>
      <c r="E784" t="s">
        <v>39</v>
      </c>
      <c r="F784">
        <v>250002</v>
      </c>
      <c r="G784" t="s">
        <v>282</v>
      </c>
      <c r="H784">
        <v>25</v>
      </c>
      <c r="I784" t="s">
        <v>120</v>
      </c>
      <c r="J784">
        <v>10</v>
      </c>
      <c r="K784" s="4">
        <v>2000</v>
      </c>
      <c r="L784" s="4">
        <v>20000</v>
      </c>
    </row>
    <row r="785" spans="2:13" ht="12.75">
      <c r="B785" t="str">
        <f t="shared" si="42"/>
        <v>7949</v>
      </c>
      <c r="C785" t="s">
        <v>272</v>
      </c>
      <c r="D785">
        <v>420249</v>
      </c>
      <c r="E785" t="s">
        <v>39</v>
      </c>
      <c r="F785">
        <v>290018</v>
      </c>
      <c r="G785" t="s">
        <v>25</v>
      </c>
      <c r="H785">
        <v>29</v>
      </c>
      <c r="I785" t="s">
        <v>142</v>
      </c>
      <c r="J785">
        <v>1</v>
      </c>
      <c r="K785" s="4">
        <v>200000</v>
      </c>
      <c r="L785" s="4">
        <v>200000</v>
      </c>
      <c r="M785" t="s">
        <v>283</v>
      </c>
    </row>
    <row r="786" spans="2:13" ht="12.75">
      <c r="B786" t="str">
        <f t="shared" si="42"/>
        <v>7949</v>
      </c>
      <c r="C786" t="s">
        <v>272</v>
      </c>
      <c r="D786">
        <v>420703</v>
      </c>
      <c r="E786" t="s">
        <v>51</v>
      </c>
      <c r="F786">
        <v>310009</v>
      </c>
      <c r="G786" t="s">
        <v>25</v>
      </c>
      <c r="H786">
        <v>31</v>
      </c>
      <c r="I786" t="s">
        <v>26</v>
      </c>
      <c r="J786">
        <v>1</v>
      </c>
      <c r="K786" s="4">
        <v>200000</v>
      </c>
      <c r="L786" s="4">
        <v>200000</v>
      </c>
      <c r="M786" t="s">
        <v>284</v>
      </c>
    </row>
    <row r="787" spans="2:13" ht="12.75">
      <c r="B787" t="str">
        <f t="shared" si="42"/>
        <v>7949</v>
      </c>
      <c r="C787" t="s">
        <v>272</v>
      </c>
      <c r="D787">
        <v>420704</v>
      </c>
      <c r="E787" t="s">
        <v>24</v>
      </c>
      <c r="F787">
        <v>310002</v>
      </c>
      <c r="G787" t="s">
        <v>86</v>
      </c>
      <c r="H787">
        <v>31</v>
      </c>
      <c r="I787" t="s">
        <v>26</v>
      </c>
      <c r="J787">
        <v>1</v>
      </c>
      <c r="K787" s="4">
        <v>150000</v>
      </c>
      <c r="L787" s="4">
        <v>150000</v>
      </c>
      <c r="M787" t="s">
        <v>285</v>
      </c>
    </row>
    <row r="788" spans="2:13" ht="12.75">
      <c r="B788" t="str">
        <f t="shared" si="42"/>
        <v>7949</v>
      </c>
      <c r="C788" t="s">
        <v>272</v>
      </c>
      <c r="D788">
        <v>420704</v>
      </c>
      <c r="E788" t="s">
        <v>24</v>
      </c>
      <c r="F788">
        <v>370001</v>
      </c>
      <c r="G788" t="s">
        <v>133</v>
      </c>
      <c r="H788">
        <v>37</v>
      </c>
      <c r="I788" t="s">
        <v>134</v>
      </c>
      <c r="J788">
        <v>1</v>
      </c>
      <c r="K788" s="4">
        <v>500000</v>
      </c>
      <c r="L788" s="4">
        <v>500000</v>
      </c>
      <c r="M788" t="s">
        <v>286</v>
      </c>
    </row>
    <row r="789" spans="1:2" ht="12.75">
      <c r="A789" t="s">
        <v>47</v>
      </c>
      <c r="B789">
        <f>SUM(L761:L788)</f>
        <v>4465000</v>
      </c>
    </row>
    <row r="791" ht="12.75">
      <c r="A791" t="str">
        <f>"4112 - Sodni svet RS, verzija: 1"</f>
        <v>4112 - Sodni svet RS, verzija: 1</v>
      </c>
    </row>
    <row r="792" spans="2:13" ht="12.75">
      <c r="B792" t="s">
        <v>3</v>
      </c>
      <c r="D792" t="s">
        <v>4</v>
      </c>
      <c r="F792" t="s">
        <v>5</v>
      </c>
      <c r="H792" t="s">
        <v>6</v>
      </c>
      <c r="J792" t="s">
        <v>7</v>
      </c>
      <c r="K792" s="4" t="s">
        <v>8</v>
      </c>
      <c r="L792" s="4" t="s">
        <v>9</v>
      </c>
      <c r="M792" t="s">
        <v>10</v>
      </c>
    </row>
    <row r="793" spans="2:12" ht="12.75">
      <c r="B793" t="str">
        <f>"6730"</f>
        <v>6730</v>
      </c>
      <c r="C793" t="s">
        <v>27</v>
      </c>
      <c r="D793">
        <v>420703</v>
      </c>
      <c r="E793" t="s">
        <v>51</v>
      </c>
      <c r="F793">
        <v>10003</v>
      </c>
      <c r="G793" t="s">
        <v>28</v>
      </c>
      <c r="H793">
        <v>1</v>
      </c>
      <c r="I793" t="s">
        <v>21</v>
      </c>
      <c r="J793">
        <v>1</v>
      </c>
      <c r="K793" s="4">
        <v>433</v>
      </c>
      <c r="L793" s="4">
        <v>433</v>
      </c>
    </row>
    <row r="794" spans="1:2" ht="12.75">
      <c r="A794" t="s">
        <v>47</v>
      </c>
      <c r="B794">
        <f>SUM(L793:L793)</f>
        <v>433</v>
      </c>
    </row>
    <row r="796" ht="12.75">
      <c r="A796" t="str">
        <f>"4211 - Višje sodišče Celje, verzija: 1"</f>
        <v>4211 - Višje sodišče Celje, verzija: 1</v>
      </c>
    </row>
    <row r="797" spans="2:13" ht="12.75">
      <c r="B797" t="s">
        <v>3</v>
      </c>
      <c r="D797" t="s">
        <v>4</v>
      </c>
      <c r="F797" t="s">
        <v>5</v>
      </c>
      <c r="H797" t="s">
        <v>6</v>
      </c>
      <c r="J797" t="s">
        <v>7</v>
      </c>
      <c r="K797" s="4" t="s">
        <v>8</v>
      </c>
      <c r="L797" s="4" t="s">
        <v>9</v>
      </c>
      <c r="M797" t="s">
        <v>10</v>
      </c>
    </row>
    <row r="798" spans="2:13" ht="12.75">
      <c r="B798" t="str">
        <f>"2939"</f>
        <v>2939</v>
      </c>
      <c r="C798" t="s">
        <v>27</v>
      </c>
      <c r="D798">
        <v>420202</v>
      </c>
      <c r="E798" t="s">
        <v>19</v>
      </c>
      <c r="F798">
        <v>20001</v>
      </c>
      <c r="G798" t="s">
        <v>29</v>
      </c>
      <c r="H798">
        <v>2</v>
      </c>
      <c r="I798" t="s">
        <v>30</v>
      </c>
      <c r="J798">
        <v>1</v>
      </c>
      <c r="K798" s="4">
        <v>800</v>
      </c>
      <c r="L798" s="4">
        <v>800</v>
      </c>
      <c r="M798" t="s">
        <v>287</v>
      </c>
    </row>
    <row r="799" spans="2:13" ht="12.75">
      <c r="B799" t="str">
        <f>"2939"</f>
        <v>2939</v>
      </c>
      <c r="C799" t="s">
        <v>27</v>
      </c>
      <c r="D799">
        <v>420202</v>
      </c>
      <c r="E799" t="s">
        <v>19</v>
      </c>
      <c r="F799">
        <v>60002</v>
      </c>
      <c r="G799" t="s">
        <v>31</v>
      </c>
      <c r="H799">
        <v>6</v>
      </c>
      <c r="I799" t="s">
        <v>32</v>
      </c>
      <c r="J799">
        <v>1</v>
      </c>
      <c r="K799" s="4">
        <v>250</v>
      </c>
      <c r="L799" s="4">
        <v>250</v>
      </c>
      <c r="M799" t="s">
        <v>288</v>
      </c>
    </row>
    <row r="800" spans="2:13" ht="12.75">
      <c r="B800" t="str">
        <f>"2939"</f>
        <v>2939</v>
      </c>
      <c r="C800" t="s">
        <v>27</v>
      </c>
      <c r="D800">
        <v>420202</v>
      </c>
      <c r="E800" t="s">
        <v>19</v>
      </c>
      <c r="F800">
        <v>60002</v>
      </c>
      <c r="G800" t="s">
        <v>31</v>
      </c>
      <c r="H800">
        <v>6</v>
      </c>
      <c r="I800" t="s">
        <v>32</v>
      </c>
      <c r="J800">
        <v>1</v>
      </c>
      <c r="K800" s="4">
        <v>750</v>
      </c>
      <c r="L800" s="4">
        <v>750</v>
      </c>
      <c r="M800" t="s">
        <v>289</v>
      </c>
    </row>
    <row r="801" spans="1:2" ht="12.75">
      <c r="A801" t="s">
        <v>47</v>
      </c>
      <c r="B801">
        <f>SUM(L798:L800)</f>
        <v>1800</v>
      </c>
    </row>
    <row r="803" ht="12.75">
      <c r="A803" t="str">
        <f>"4212 - Višje sodišče Koper, verzija: 1"</f>
        <v>4212 - Višje sodišče Koper, verzija: 1</v>
      </c>
    </row>
    <row r="804" spans="2:13" ht="12.75">
      <c r="B804" t="s">
        <v>3</v>
      </c>
      <c r="D804" t="s">
        <v>4</v>
      </c>
      <c r="F804" t="s">
        <v>5</v>
      </c>
      <c r="H804" t="s">
        <v>6</v>
      </c>
      <c r="J804" t="s">
        <v>7</v>
      </c>
      <c r="K804" s="4" t="s">
        <v>8</v>
      </c>
      <c r="L804" s="4" t="s">
        <v>9</v>
      </c>
      <c r="M804" t="s">
        <v>10</v>
      </c>
    </row>
    <row r="805" spans="2:12" ht="12.75">
      <c r="B805" t="str">
        <f>"2940"</f>
        <v>2940</v>
      </c>
      <c r="C805" t="s">
        <v>27</v>
      </c>
      <c r="D805">
        <v>420704</v>
      </c>
      <c r="E805" t="s">
        <v>24</v>
      </c>
      <c r="F805">
        <v>310005</v>
      </c>
      <c r="G805" t="s">
        <v>46</v>
      </c>
      <c r="H805">
        <v>31</v>
      </c>
      <c r="I805" t="s">
        <v>26</v>
      </c>
      <c r="J805">
        <v>1</v>
      </c>
      <c r="K805" s="4">
        <v>167</v>
      </c>
      <c r="L805" s="4">
        <v>167</v>
      </c>
    </row>
    <row r="806" spans="1:2" ht="12.75">
      <c r="A806" t="s">
        <v>47</v>
      </c>
      <c r="B806">
        <f>SUM(L805:L805)</f>
        <v>167</v>
      </c>
    </row>
    <row r="808" ht="12.75">
      <c r="A808" t="str">
        <f>"4215 - Okrožno sodišče v Celju, verzija: 1"</f>
        <v>4215 - Okrožno sodišče v Celju, verzija: 1</v>
      </c>
    </row>
    <row r="809" spans="2:13" ht="12.75">
      <c r="B809" t="s">
        <v>3</v>
      </c>
      <c r="D809" t="s">
        <v>4</v>
      </c>
      <c r="F809" t="s">
        <v>5</v>
      </c>
      <c r="H809" t="s">
        <v>6</v>
      </c>
      <c r="J809" t="s">
        <v>7</v>
      </c>
      <c r="K809" s="4" t="s">
        <v>8</v>
      </c>
      <c r="L809" s="4" t="s">
        <v>9</v>
      </c>
      <c r="M809" t="s">
        <v>10</v>
      </c>
    </row>
    <row r="810" spans="2:13" ht="12.75">
      <c r="B810" t="str">
        <f>"2941"</f>
        <v>2941</v>
      </c>
      <c r="C810" t="s">
        <v>27</v>
      </c>
      <c r="D810">
        <v>420238</v>
      </c>
      <c r="E810" t="s">
        <v>34</v>
      </c>
      <c r="F810">
        <v>450005</v>
      </c>
      <c r="G810" t="s">
        <v>42</v>
      </c>
      <c r="H810">
        <v>45</v>
      </c>
      <c r="I810" t="s">
        <v>43</v>
      </c>
      <c r="J810">
        <v>1</v>
      </c>
      <c r="K810" s="4">
        <v>803</v>
      </c>
      <c r="L810" s="4">
        <v>803</v>
      </c>
      <c r="M810" t="s">
        <v>290</v>
      </c>
    </row>
    <row r="811" spans="2:13" ht="12.75">
      <c r="B811" t="str">
        <f>"2941"</f>
        <v>2941</v>
      </c>
      <c r="C811" t="s">
        <v>27</v>
      </c>
      <c r="D811">
        <v>420703</v>
      </c>
      <c r="E811" t="s">
        <v>51</v>
      </c>
      <c r="F811">
        <v>310009</v>
      </c>
      <c r="G811" t="s">
        <v>25</v>
      </c>
      <c r="H811">
        <v>31</v>
      </c>
      <c r="I811" t="s">
        <v>26</v>
      </c>
      <c r="J811">
        <v>1</v>
      </c>
      <c r="K811" s="4">
        <v>500</v>
      </c>
      <c r="L811" s="4">
        <v>500</v>
      </c>
      <c r="M811" t="s">
        <v>291</v>
      </c>
    </row>
    <row r="812" spans="2:13" ht="409.5">
      <c r="B812" t="str">
        <f>"3397"</f>
        <v>3397</v>
      </c>
      <c r="C812" t="s">
        <v>40</v>
      </c>
      <c r="D812">
        <v>402514</v>
      </c>
      <c r="E812" t="s">
        <v>45</v>
      </c>
      <c r="F812">
        <v>310005</v>
      </c>
      <c r="G812" t="s">
        <v>46</v>
      </c>
      <c r="H812">
        <v>31</v>
      </c>
      <c r="I812" t="s">
        <v>26</v>
      </c>
      <c r="J812">
        <v>1</v>
      </c>
      <c r="K812" s="4">
        <v>4683</v>
      </c>
      <c r="L812" s="4">
        <v>4683</v>
      </c>
      <c r="M812" s="2" t="s">
        <v>292</v>
      </c>
    </row>
    <row r="813" spans="2:13" ht="12.75">
      <c r="B813" t="str">
        <f>"3397"</f>
        <v>3397</v>
      </c>
      <c r="C813" t="s">
        <v>40</v>
      </c>
      <c r="D813">
        <v>402941</v>
      </c>
      <c r="E813" t="s">
        <v>98</v>
      </c>
      <c r="F813">
        <v>440002</v>
      </c>
      <c r="G813" t="s">
        <v>155</v>
      </c>
      <c r="H813">
        <v>44</v>
      </c>
      <c r="I813" t="s">
        <v>99</v>
      </c>
      <c r="J813">
        <v>1</v>
      </c>
      <c r="K813" s="4">
        <v>13000</v>
      </c>
      <c r="L813" s="4">
        <v>13000</v>
      </c>
      <c r="M813" t="s">
        <v>293</v>
      </c>
    </row>
    <row r="814" spans="1:2" ht="12.75">
      <c r="A814" t="s">
        <v>47</v>
      </c>
      <c r="B814">
        <f>SUM(L810:L813)</f>
        <v>18986</v>
      </c>
    </row>
    <row r="816" ht="12.75">
      <c r="A816" t="str">
        <f>"4216 - Okrožno sodišče v Kopru, verzija: 1"</f>
        <v>4216 - Okrožno sodišče v Kopru, verzija: 1</v>
      </c>
    </row>
    <row r="817" spans="2:13" ht="12.75">
      <c r="B817" t="s">
        <v>3</v>
      </c>
      <c r="D817" t="s">
        <v>4</v>
      </c>
      <c r="F817" t="s">
        <v>5</v>
      </c>
      <c r="H817" t="s">
        <v>6</v>
      </c>
      <c r="J817" t="s">
        <v>7</v>
      </c>
      <c r="K817" s="4" t="s">
        <v>8</v>
      </c>
      <c r="L817" s="4" t="s">
        <v>9</v>
      </c>
      <c r="M817" t="s">
        <v>10</v>
      </c>
    </row>
    <row r="818" spans="2:13" ht="76.5">
      <c r="B818" t="str">
        <f>"2942"</f>
        <v>2942</v>
      </c>
      <c r="C818" t="s">
        <v>27</v>
      </c>
      <c r="D818">
        <v>420202</v>
      </c>
      <c r="E818" t="s">
        <v>19</v>
      </c>
      <c r="F818">
        <v>400023</v>
      </c>
      <c r="G818" t="s">
        <v>94</v>
      </c>
      <c r="H818">
        <v>40</v>
      </c>
      <c r="I818" t="s">
        <v>50</v>
      </c>
      <c r="J818">
        <v>1</v>
      </c>
      <c r="K818" s="4">
        <v>3500</v>
      </c>
      <c r="L818" s="4">
        <v>3500</v>
      </c>
      <c r="M818" s="1" t="s">
        <v>294</v>
      </c>
    </row>
    <row r="819" spans="2:13" ht="76.5">
      <c r="B819" t="str">
        <f>"2942"</f>
        <v>2942</v>
      </c>
      <c r="C819" t="s">
        <v>27</v>
      </c>
      <c r="D819">
        <v>420238</v>
      </c>
      <c r="E819" t="s">
        <v>34</v>
      </c>
      <c r="F819">
        <v>30005</v>
      </c>
      <c r="G819" t="s">
        <v>25</v>
      </c>
      <c r="H819">
        <v>3</v>
      </c>
      <c r="I819" t="s">
        <v>78</v>
      </c>
      <c r="J819">
        <v>1</v>
      </c>
      <c r="K819" s="4">
        <v>4300</v>
      </c>
      <c r="L819" s="4">
        <v>4300</v>
      </c>
      <c r="M819" s="1" t="s">
        <v>294</v>
      </c>
    </row>
    <row r="820" spans="2:12" ht="12.75">
      <c r="B820" t="str">
        <f>"2942"</f>
        <v>2942</v>
      </c>
      <c r="C820" t="s">
        <v>27</v>
      </c>
      <c r="D820">
        <v>420703</v>
      </c>
      <c r="E820" t="s">
        <v>51</v>
      </c>
      <c r="F820">
        <v>310009</v>
      </c>
      <c r="G820" t="s">
        <v>25</v>
      </c>
      <c r="H820">
        <v>31</v>
      </c>
      <c r="I820" t="s">
        <v>26</v>
      </c>
      <c r="J820">
        <v>1</v>
      </c>
      <c r="K820" s="4">
        <v>300</v>
      </c>
      <c r="L820" s="4">
        <v>300</v>
      </c>
    </row>
    <row r="821" spans="1:2" ht="12.75">
      <c r="A821" t="s">
        <v>47</v>
      </c>
      <c r="B821">
        <f>SUM(L818:L820)</f>
        <v>8100</v>
      </c>
    </row>
    <row r="823" ht="12.75">
      <c r="A823" t="str">
        <f>"4218 - Okrožno sodišče v Ljubljani, verzija: 1"</f>
        <v>4218 - Okrožno sodišče v Ljubljani, verzija: 1</v>
      </c>
    </row>
    <row r="824" spans="2:13" ht="12.75">
      <c r="B824" t="s">
        <v>3</v>
      </c>
      <c r="D824" t="s">
        <v>4</v>
      </c>
      <c r="F824" t="s">
        <v>5</v>
      </c>
      <c r="H824" t="s">
        <v>6</v>
      </c>
      <c r="J824" t="s">
        <v>7</v>
      </c>
      <c r="K824" s="4" t="s">
        <v>8</v>
      </c>
      <c r="L824" s="4" t="s">
        <v>9</v>
      </c>
      <c r="M824" t="s">
        <v>10</v>
      </c>
    </row>
    <row r="825" spans="2:12" ht="12.75">
      <c r="B825" t="str">
        <f>"7965"</f>
        <v>7965</v>
      </c>
      <c r="C825" t="s">
        <v>27</v>
      </c>
      <c r="D825">
        <v>402007</v>
      </c>
      <c r="E825" t="s">
        <v>41</v>
      </c>
      <c r="F825">
        <v>450005</v>
      </c>
      <c r="G825" t="s">
        <v>42</v>
      </c>
      <c r="H825">
        <v>45</v>
      </c>
      <c r="I825" t="s">
        <v>43</v>
      </c>
      <c r="J825">
        <v>1</v>
      </c>
      <c r="K825" s="4">
        <v>2454</v>
      </c>
      <c r="L825" s="4">
        <v>2454</v>
      </c>
    </row>
    <row r="826" spans="2:12" ht="12.75">
      <c r="B826" t="str">
        <f>"7965"</f>
        <v>7965</v>
      </c>
      <c r="C826" t="s">
        <v>27</v>
      </c>
      <c r="D826">
        <v>420703</v>
      </c>
      <c r="E826" t="s">
        <v>51</v>
      </c>
      <c r="F826">
        <v>440005</v>
      </c>
      <c r="G826" t="s">
        <v>295</v>
      </c>
      <c r="H826">
        <v>44</v>
      </c>
      <c r="I826" t="s">
        <v>99</v>
      </c>
      <c r="J826">
        <v>1</v>
      </c>
      <c r="K826" s="4">
        <v>6134</v>
      </c>
      <c r="L826" s="4">
        <v>6134</v>
      </c>
    </row>
    <row r="827" spans="1:2" ht="12.75">
      <c r="A827" t="s">
        <v>47</v>
      </c>
      <c r="B827">
        <f>SUM(L825:L826)</f>
        <v>8588</v>
      </c>
    </row>
    <row r="829" ht="12.75">
      <c r="A829" t="str">
        <f>"4222 - Okrožno sodišče v Novem mestu, verzija: 2"</f>
        <v>4222 - Okrožno sodišče v Novem mestu, verzija: 2</v>
      </c>
    </row>
    <row r="830" spans="2:13" ht="12.75">
      <c r="B830" t="s">
        <v>3</v>
      </c>
      <c r="D830" t="s">
        <v>4</v>
      </c>
      <c r="F830" t="s">
        <v>5</v>
      </c>
      <c r="H830" t="s">
        <v>6</v>
      </c>
      <c r="J830" t="s">
        <v>7</v>
      </c>
      <c r="K830" s="4" t="s">
        <v>8</v>
      </c>
      <c r="L830" s="4" t="s">
        <v>9</v>
      </c>
      <c r="M830" t="s">
        <v>10</v>
      </c>
    </row>
    <row r="831" spans="2:13" ht="12.75">
      <c r="B831" t="str">
        <f>"7972"</f>
        <v>7972</v>
      </c>
      <c r="C831" t="s">
        <v>27</v>
      </c>
      <c r="D831">
        <v>420238</v>
      </c>
      <c r="E831" t="s">
        <v>34</v>
      </c>
      <c r="F831">
        <v>30005</v>
      </c>
      <c r="G831" t="s">
        <v>25</v>
      </c>
      <c r="H831">
        <v>3</v>
      </c>
      <c r="I831" t="s">
        <v>78</v>
      </c>
      <c r="J831">
        <v>1</v>
      </c>
      <c r="K831" s="4">
        <v>200</v>
      </c>
      <c r="L831" s="4">
        <v>200</v>
      </c>
      <c r="M831" t="s">
        <v>65</v>
      </c>
    </row>
    <row r="832" spans="1:2" ht="12.75">
      <c r="A832" t="s">
        <v>47</v>
      </c>
      <c r="B832">
        <f>SUM(L831:L831)</f>
        <v>200</v>
      </c>
    </row>
    <row r="834" ht="12.75">
      <c r="A834" t="str">
        <f>"4223 - Okrožno sodišče v Krškem, verzija: 1"</f>
        <v>4223 - Okrožno sodišče v Krškem, verzija: 1</v>
      </c>
    </row>
    <row r="835" spans="2:13" ht="12.75">
      <c r="B835" t="s">
        <v>3</v>
      </c>
      <c r="D835" t="s">
        <v>4</v>
      </c>
      <c r="F835" t="s">
        <v>5</v>
      </c>
      <c r="H835" t="s">
        <v>6</v>
      </c>
      <c r="J835" t="s">
        <v>7</v>
      </c>
      <c r="K835" s="4" t="s">
        <v>8</v>
      </c>
      <c r="L835" s="4" t="s">
        <v>9</v>
      </c>
      <c r="M835" t="s">
        <v>10</v>
      </c>
    </row>
    <row r="836" spans="2:12" ht="12.75">
      <c r="B836" t="str">
        <f>"2969"</f>
        <v>2969</v>
      </c>
      <c r="C836" t="s">
        <v>27</v>
      </c>
      <c r="D836">
        <v>420202</v>
      </c>
      <c r="E836" t="s">
        <v>19</v>
      </c>
      <c r="F836">
        <v>100008</v>
      </c>
      <c r="G836" t="s">
        <v>296</v>
      </c>
      <c r="H836">
        <v>10</v>
      </c>
      <c r="I836" t="s">
        <v>35</v>
      </c>
      <c r="J836">
        <v>2</v>
      </c>
      <c r="K836" s="4">
        <v>10000</v>
      </c>
      <c r="L836" s="4">
        <v>20000</v>
      </c>
    </row>
    <row r="837" spans="1:2" ht="12.75">
      <c r="A837" t="s">
        <v>47</v>
      </c>
      <c r="B837">
        <f>SUM(L836:L836)</f>
        <v>20000</v>
      </c>
    </row>
    <row r="839" ht="12.75">
      <c r="A839" t="str">
        <f>"4224 - Okrožno sodišče na Ptuju, verzija: 1"</f>
        <v>4224 - Okrožno sodišče na Ptuju, verzija: 1</v>
      </c>
    </row>
    <row r="840" spans="2:13" ht="12.75">
      <c r="B840" t="s">
        <v>3</v>
      </c>
      <c r="D840" t="s">
        <v>4</v>
      </c>
      <c r="F840" t="s">
        <v>5</v>
      </c>
      <c r="H840" t="s">
        <v>6</v>
      </c>
      <c r="J840" t="s">
        <v>7</v>
      </c>
      <c r="K840" s="4" t="s">
        <v>8</v>
      </c>
      <c r="L840" s="4" t="s">
        <v>9</v>
      </c>
      <c r="M840" t="s">
        <v>10</v>
      </c>
    </row>
    <row r="841" spans="2:12" ht="12.75">
      <c r="B841" t="str">
        <f>"2972"</f>
        <v>2972</v>
      </c>
      <c r="C841" t="s">
        <v>27</v>
      </c>
      <c r="D841">
        <v>420703</v>
      </c>
      <c r="E841" t="s">
        <v>51</v>
      </c>
      <c r="F841">
        <v>310009</v>
      </c>
      <c r="G841" t="s">
        <v>25</v>
      </c>
      <c r="H841">
        <v>31</v>
      </c>
      <c r="I841" t="s">
        <v>26</v>
      </c>
      <c r="J841">
        <v>1</v>
      </c>
      <c r="K841" s="4">
        <v>1000</v>
      </c>
      <c r="L841" s="4">
        <v>1000</v>
      </c>
    </row>
    <row r="842" spans="1:2" ht="12.75">
      <c r="A842" t="s">
        <v>47</v>
      </c>
      <c r="B842">
        <f>SUM(L841:L841)</f>
        <v>1000</v>
      </c>
    </row>
    <row r="844" ht="12.75">
      <c r="A844" t="str">
        <f>"4225 - Okrožno sodišče v Slovenj Gradcu, verzija: 1"</f>
        <v>4225 - Okrožno sodišče v Slovenj Gradcu, verzija: 1</v>
      </c>
    </row>
    <row r="845" spans="2:13" ht="12.75">
      <c r="B845" t="s">
        <v>3</v>
      </c>
      <c r="D845" t="s">
        <v>4</v>
      </c>
      <c r="F845" t="s">
        <v>5</v>
      </c>
      <c r="H845" t="s">
        <v>6</v>
      </c>
      <c r="J845" t="s">
        <v>7</v>
      </c>
      <c r="K845" s="4" t="s">
        <v>8</v>
      </c>
      <c r="L845" s="4" t="s">
        <v>9</v>
      </c>
      <c r="M845" t="s">
        <v>10</v>
      </c>
    </row>
    <row r="846" spans="2:12" ht="12.75">
      <c r="B846" t="str">
        <f>"7975"</f>
        <v>7975</v>
      </c>
      <c r="C846" t="s">
        <v>27</v>
      </c>
      <c r="D846">
        <v>420704</v>
      </c>
      <c r="E846" t="s">
        <v>24</v>
      </c>
      <c r="F846">
        <v>280006</v>
      </c>
      <c r="G846" t="s">
        <v>25</v>
      </c>
      <c r="H846">
        <v>28</v>
      </c>
      <c r="I846" t="s">
        <v>297</v>
      </c>
      <c r="J846">
        <v>1</v>
      </c>
      <c r="K846" s="4">
        <v>835</v>
      </c>
      <c r="L846" s="4">
        <v>835</v>
      </c>
    </row>
    <row r="847" spans="1:2" ht="12.75">
      <c r="A847" t="s">
        <v>47</v>
      </c>
      <c r="B847">
        <f>SUM(L846:L846)</f>
        <v>835</v>
      </c>
    </row>
    <row r="849" ht="12.75">
      <c r="A849" t="str">
        <f>"4411 - Vrhovno državno tožilstvo RS, verzija: 1"</f>
        <v>4411 - Vrhovno državno tožilstvo RS, verzija: 1</v>
      </c>
    </row>
    <row r="850" spans="2:13" ht="12.75">
      <c r="B850" t="s">
        <v>3</v>
      </c>
      <c r="D850" t="s">
        <v>4</v>
      </c>
      <c r="F850" t="s">
        <v>5</v>
      </c>
      <c r="H850" t="s">
        <v>6</v>
      </c>
      <c r="J850" t="s">
        <v>7</v>
      </c>
      <c r="K850" s="4" t="s">
        <v>8</v>
      </c>
      <c r="L850" s="4" t="s">
        <v>9</v>
      </c>
      <c r="M850" t="s">
        <v>10</v>
      </c>
    </row>
    <row r="851" spans="2:13" ht="12.75">
      <c r="B851" t="str">
        <f>"2981"</f>
        <v>2981</v>
      </c>
      <c r="C851" t="s">
        <v>27</v>
      </c>
      <c r="D851">
        <v>420704</v>
      </c>
      <c r="E851" t="s">
        <v>24</v>
      </c>
      <c r="F851">
        <v>410007</v>
      </c>
      <c r="G851" t="s">
        <v>25</v>
      </c>
      <c r="H851">
        <v>41</v>
      </c>
      <c r="I851" t="s">
        <v>14</v>
      </c>
      <c r="J851">
        <v>1</v>
      </c>
      <c r="K851" s="4">
        <v>4173</v>
      </c>
      <c r="L851" s="4">
        <v>4173</v>
      </c>
      <c r="M851" t="s">
        <v>298</v>
      </c>
    </row>
    <row r="852" spans="1:2" ht="12.75">
      <c r="A852" t="s">
        <v>47</v>
      </c>
      <c r="B852">
        <f>SUM(L851:L851)</f>
        <v>4173</v>
      </c>
    </row>
    <row r="854" ht="12.75">
      <c r="A854" t="str">
        <f>"4417 - Okrožno državno tožilstvo v Kopru, verzija: 1"</f>
        <v>4417 - Okrožno državno tožilstvo v Kopru, verzija: 1</v>
      </c>
    </row>
    <row r="855" spans="2:13" ht="12.75">
      <c r="B855" t="s">
        <v>3</v>
      </c>
      <c r="D855" t="s">
        <v>4</v>
      </c>
      <c r="F855" t="s">
        <v>5</v>
      </c>
      <c r="H855" t="s">
        <v>6</v>
      </c>
      <c r="J855" t="s">
        <v>7</v>
      </c>
      <c r="K855" s="4" t="s">
        <v>8</v>
      </c>
      <c r="L855" s="4" t="s">
        <v>9</v>
      </c>
      <c r="M855" t="s">
        <v>10</v>
      </c>
    </row>
    <row r="856" spans="2:12" ht="12.75">
      <c r="B856" t="str">
        <f>"2997"</f>
        <v>2997</v>
      </c>
      <c r="C856" t="s">
        <v>27</v>
      </c>
      <c r="D856">
        <v>420202</v>
      </c>
      <c r="E856" t="s">
        <v>19</v>
      </c>
      <c r="F856">
        <v>10002</v>
      </c>
      <c r="G856" t="s">
        <v>20</v>
      </c>
      <c r="H856">
        <v>1</v>
      </c>
      <c r="I856" t="s">
        <v>21</v>
      </c>
      <c r="J856">
        <v>1</v>
      </c>
      <c r="K856" s="4">
        <v>400</v>
      </c>
      <c r="L856" s="4">
        <v>400</v>
      </c>
    </row>
    <row r="857" spans="2:12" ht="12.75">
      <c r="B857" t="str">
        <f>"2997"</f>
        <v>2997</v>
      </c>
      <c r="C857" t="s">
        <v>27</v>
      </c>
      <c r="D857">
        <v>420202</v>
      </c>
      <c r="E857" t="s">
        <v>19</v>
      </c>
      <c r="F857">
        <v>20001</v>
      </c>
      <c r="G857" t="s">
        <v>29</v>
      </c>
      <c r="H857">
        <v>2</v>
      </c>
      <c r="I857" t="s">
        <v>30</v>
      </c>
      <c r="J857">
        <v>1</v>
      </c>
      <c r="K857" s="4">
        <v>600</v>
      </c>
      <c r="L857" s="4">
        <v>600</v>
      </c>
    </row>
    <row r="858" spans="2:12" ht="12.75">
      <c r="B858" t="str">
        <f>"2997"</f>
        <v>2997</v>
      </c>
      <c r="C858" t="s">
        <v>27</v>
      </c>
      <c r="D858">
        <v>420238</v>
      </c>
      <c r="E858" t="s">
        <v>34</v>
      </c>
      <c r="F858">
        <v>120007</v>
      </c>
      <c r="G858" t="s">
        <v>25</v>
      </c>
      <c r="H858">
        <v>12</v>
      </c>
      <c r="I858" t="s">
        <v>38</v>
      </c>
      <c r="J858">
        <v>1</v>
      </c>
      <c r="K858" s="4">
        <v>500</v>
      </c>
      <c r="L858" s="4">
        <v>500</v>
      </c>
    </row>
    <row r="859" spans="1:2" ht="12.75">
      <c r="A859" t="s">
        <v>47</v>
      </c>
      <c r="B859">
        <f>SUM(L856:L858)</f>
        <v>1500</v>
      </c>
    </row>
    <row r="861" ht="12.75">
      <c r="A861" t="str">
        <f>"4419 - Okrožno državno tožilstvo v Ljubljani, verzija: 1"</f>
        <v>4419 - Okrožno državno tožilstvo v Ljubljani, verzija: 1</v>
      </c>
    </row>
    <row r="862" spans="2:13" ht="12.75">
      <c r="B862" t="s">
        <v>3</v>
      </c>
      <c r="D862" t="s">
        <v>4</v>
      </c>
      <c r="F862" t="s">
        <v>5</v>
      </c>
      <c r="H862" t="s">
        <v>6</v>
      </c>
      <c r="J862" t="s">
        <v>7</v>
      </c>
      <c r="K862" s="4" t="s">
        <v>8</v>
      </c>
      <c r="L862" s="4" t="s">
        <v>9</v>
      </c>
      <c r="M862" t="s">
        <v>10</v>
      </c>
    </row>
    <row r="863" spans="2:12" ht="12.75">
      <c r="B863" t="str">
        <f>"7987"</f>
        <v>7987</v>
      </c>
      <c r="C863" t="s">
        <v>27</v>
      </c>
      <c r="D863">
        <v>420238</v>
      </c>
      <c r="E863" t="s">
        <v>34</v>
      </c>
      <c r="F863">
        <v>100009</v>
      </c>
      <c r="G863" t="s">
        <v>299</v>
      </c>
      <c r="H863">
        <v>10</v>
      </c>
      <c r="I863" t="s">
        <v>35</v>
      </c>
      <c r="J863">
        <v>1</v>
      </c>
      <c r="K863" s="4">
        <v>1339</v>
      </c>
      <c r="L863" s="4">
        <v>1339</v>
      </c>
    </row>
    <row r="864" spans="1:2" ht="12.75">
      <c r="A864" t="s">
        <v>47</v>
      </c>
      <c r="B864">
        <f>SUM(L863:L863)</f>
        <v>1339</v>
      </c>
    </row>
    <row r="866" ht="12.75">
      <c r="A866" t="str">
        <f>"4514 - Državno pravobranilstvo RS, verzija: 1"</f>
        <v>4514 - Državno pravobranilstvo RS, verzija: 1</v>
      </c>
    </row>
    <row r="867" spans="2:13" ht="12.75">
      <c r="B867" t="s">
        <v>3</v>
      </c>
      <c r="D867" t="s">
        <v>4</v>
      </c>
      <c r="F867" t="s">
        <v>5</v>
      </c>
      <c r="H867" t="s">
        <v>6</v>
      </c>
      <c r="J867" t="s">
        <v>7</v>
      </c>
      <c r="K867" s="4" t="s">
        <v>8</v>
      </c>
      <c r="L867" s="4" t="s">
        <v>9</v>
      </c>
      <c r="M867" t="s">
        <v>10</v>
      </c>
    </row>
    <row r="868" spans="2:12" ht="12.75">
      <c r="B868" t="str">
        <f>"3586"</f>
        <v>3586</v>
      </c>
      <c r="C868" t="s">
        <v>27</v>
      </c>
      <c r="D868">
        <v>420238</v>
      </c>
      <c r="E868" t="s">
        <v>34</v>
      </c>
      <c r="F868">
        <v>60002</v>
      </c>
      <c r="G868" t="s">
        <v>31</v>
      </c>
      <c r="H868">
        <v>6</v>
      </c>
      <c r="I868" t="s">
        <v>32</v>
      </c>
      <c r="J868">
        <v>8</v>
      </c>
      <c r="K868" s="4">
        <v>187.5</v>
      </c>
      <c r="L868" s="4">
        <v>1500</v>
      </c>
    </row>
    <row r="869" spans="2:12" ht="12.75">
      <c r="B869" t="str">
        <f>"3586"</f>
        <v>3586</v>
      </c>
      <c r="C869" t="s">
        <v>27</v>
      </c>
      <c r="D869">
        <v>420704</v>
      </c>
      <c r="E869" t="s">
        <v>24</v>
      </c>
      <c r="F869">
        <v>10004</v>
      </c>
      <c r="G869" t="s">
        <v>25</v>
      </c>
      <c r="H869">
        <v>1</v>
      </c>
      <c r="I869" t="s">
        <v>21</v>
      </c>
      <c r="J869">
        <v>2</v>
      </c>
      <c r="K869" s="4">
        <v>1900</v>
      </c>
      <c r="L869" s="4">
        <v>3800</v>
      </c>
    </row>
    <row r="870" spans="1:2" ht="12.75">
      <c r="A870" t="s">
        <v>47</v>
      </c>
      <c r="B870">
        <f>SUM(L868:L869)</f>
        <v>5300</v>
      </c>
    </row>
    <row r="872" ht="12.75">
      <c r="A872" t="str">
        <f>"5011 - Višje delovno in socialno sodišče, verzija: 1"</f>
        <v>5011 - Višje delovno in socialno sodišče, verzija: 1</v>
      </c>
    </row>
    <row r="873" spans="2:13" ht="12.75">
      <c r="B873" t="s">
        <v>3</v>
      </c>
      <c r="D873" t="s">
        <v>4</v>
      </c>
      <c r="F873" t="s">
        <v>5</v>
      </c>
      <c r="H873" t="s">
        <v>6</v>
      </c>
      <c r="J873" t="s">
        <v>7</v>
      </c>
      <c r="K873" s="4" t="s">
        <v>8</v>
      </c>
      <c r="L873" s="4" t="s">
        <v>9</v>
      </c>
      <c r="M873" t="s">
        <v>10</v>
      </c>
    </row>
    <row r="874" spans="2:12" ht="12.75">
      <c r="B874" t="str">
        <f>"3601"</f>
        <v>3601</v>
      </c>
      <c r="C874" t="s">
        <v>27</v>
      </c>
      <c r="D874">
        <v>420238</v>
      </c>
      <c r="E874" t="s">
        <v>34</v>
      </c>
      <c r="F874">
        <v>100016</v>
      </c>
      <c r="G874" t="s">
        <v>25</v>
      </c>
      <c r="H874">
        <v>10</v>
      </c>
      <c r="I874" t="s">
        <v>35</v>
      </c>
      <c r="J874">
        <v>1</v>
      </c>
      <c r="K874" s="4">
        <v>610</v>
      </c>
      <c r="L874" s="4">
        <v>610</v>
      </c>
    </row>
    <row r="875" spans="2:12" ht="12.75">
      <c r="B875" t="str">
        <f>"4103"</f>
        <v>4103</v>
      </c>
      <c r="C875" t="s">
        <v>40</v>
      </c>
      <c r="D875">
        <v>402011</v>
      </c>
      <c r="E875" t="s">
        <v>54</v>
      </c>
      <c r="F875">
        <v>420004</v>
      </c>
      <c r="G875" t="s">
        <v>25</v>
      </c>
      <c r="H875">
        <v>42</v>
      </c>
      <c r="I875" t="s">
        <v>101</v>
      </c>
      <c r="J875">
        <v>12</v>
      </c>
      <c r="K875" s="4">
        <v>105.6</v>
      </c>
      <c r="L875" s="4">
        <v>1267.2</v>
      </c>
    </row>
    <row r="876" spans="2:12" ht="12.75">
      <c r="B876" t="str">
        <f>"4103"</f>
        <v>4103</v>
      </c>
      <c r="C876" t="s">
        <v>40</v>
      </c>
      <c r="D876">
        <v>402011</v>
      </c>
      <c r="E876" t="s">
        <v>54</v>
      </c>
      <c r="F876">
        <v>420004</v>
      </c>
      <c r="G876" t="s">
        <v>25</v>
      </c>
      <c r="H876">
        <v>42</v>
      </c>
      <c r="I876" t="s">
        <v>101</v>
      </c>
      <c r="J876">
        <v>1</v>
      </c>
      <c r="K876" s="4">
        <v>87.8</v>
      </c>
      <c r="L876" s="4">
        <v>87.8</v>
      </c>
    </row>
    <row r="877" spans="1:2" ht="12.75">
      <c r="A877" t="s">
        <v>47</v>
      </c>
      <c r="B877">
        <f>SUM(L874:L876)</f>
        <v>1965</v>
      </c>
    </row>
    <row r="879" ht="12.75">
      <c r="A879" t="str">
        <f>"5013 - Delovno sodišče v Kopru, verzija: 1"</f>
        <v>5013 - Delovno sodišče v Kopru, verzija: 1</v>
      </c>
    </row>
    <row r="880" spans="2:13" ht="12.75">
      <c r="B880" t="s">
        <v>3</v>
      </c>
      <c r="D880" t="s">
        <v>4</v>
      </c>
      <c r="F880" t="s">
        <v>5</v>
      </c>
      <c r="H880" t="s">
        <v>6</v>
      </c>
      <c r="J880" t="s">
        <v>7</v>
      </c>
      <c r="K880" s="4" t="s">
        <v>8</v>
      </c>
      <c r="L880" s="4" t="s">
        <v>9</v>
      </c>
      <c r="M880" t="s">
        <v>10</v>
      </c>
    </row>
    <row r="881" spans="2:12" ht="12.75">
      <c r="B881" t="str">
        <f>"3603"</f>
        <v>3603</v>
      </c>
      <c r="C881" t="s">
        <v>27</v>
      </c>
      <c r="D881">
        <v>420704</v>
      </c>
      <c r="E881" t="s">
        <v>24</v>
      </c>
      <c r="F881">
        <v>10003</v>
      </c>
      <c r="G881" t="s">
        <v>28</v>
      </c>
      <c r="H881">
        <v>1</v>
      </c>
      <c r="I881" t="s">
        <v>21</v>
      </c>
      <c r="J881">
        <v>1</v>
      </c>
      <c r="K881" s="4">
        <v>626</v>
      </c>
      <c r="L881" s="4">
        <v>626</v>
      </c>
    </row>
    <row r="882" spans="1:2" ht="12.75">
      <c r="A882" t="s">
        <v>47</v>
      </c>
      <c r="B882">
        <f>SUM(L881:L881)</f>
        <v>626</v>
      </c>
    </row>
    <row r="884" ht="12.75">
      <c r="A884" t="str">
        <f>"5015 - Delovno sodišče v Mariboru, verzija: 1"</f>
        <v>5015 - Delovno sodišče v Mariboru, verzija: 1</v>
      </c>
    </row>
    <row r="885" spans="2:13" ht="12.75">
      <c r="B885" t="s">
        <v>3</v>
      </c>
      <c r="D885" t="s">
        <v>4</v>
      </c>
      <c r="F885" t="s">
        <v>5</v>
      </c>
      <c r="H885" t="s">
        <v>6</v>
      </c>
      <c r="J885" t="s">
        <v>7</v>
      </c>
      <c r="K885" s="4" t="s">
        <v>8</v>
      </c>
      <c r="L885" s="4" t="s">
        <v>9</v>
      </c>
      <c r="M885" t="s">
        <v>10</v>
      </c>
    </row>
    <row r="886" spans="2:13" ht="12.75">
      <c r="B886" t="str">
        <f>"3605"</f>
        <v>3605</v>
      </c>
      <c r="C886" t="s">
        <v>27</v>
      </c>
      <c r="D886">
        <v>420202</v>
      </c>
      <c r="E886" t="s">
        <v>19</v>
      </c>
      <c r="F886">
        <v>10004</v>
      </c>
      <c r="G886" t="s">
        <v>25</v>
      </c>
      <c r="H886">
        <v>1</v>
      </c>
      <c r="I886" t="s">
        <v>21</v>
      </c>
      <c r="J886">
        <v>2</v>
      </c>
      <c r="K886" s="4">
        <v>120</v>
      </c>
      <c r="L886" s="4">
        <v>240</v>
      </c>
      <c r="M886" t="s">
        <v>300</v>
      </c>
    </row>
    <row r="887" spans="2:13" ht="12.75">
      <c r="B887" t="str">
        <f>"3605"</f>
        <v>3605</v>
      </c>
      <c r="C887" t="s">
        <v>27</v>
      </c>
      <c r="D887">
        <v>420202</v>
      </c>
      <c r="E887" t="s">
        <v>19</v>
      </c>
      <c r="F887">
        <v>20002</v>
      </c>
      <c r="G887" t="s">
        <v>58</v>
      </c>
      <c r="H887">
        <v>2</v>
      </c>
      <c r="I887" t="s">
        <v>30</v>
      </c>
      <c r="J887">
        <v>1</v>
      </c>
      <c r="K887" s="4">
        <v>1500</v>
      </c>
      <c r="L887" s="4">
        <v>1500</v>
      </c>
      <c r="M887" t="s">
        <v>301</v>
      </c>
    </row>
    <row r="888" spans="1:2" ht="12.75">
      <c r="A888" t="s">
        <v>47</v>
      </c>
      <c r="B888">
        <f>SUM(L886:L887)</f>
        <v>1740</v>
      </c>
    </row>
    <row r="890" ht="12.75">
      <c r="A890" t="str">
        <f>"2111 - Ministrstvo za gospodarstvo, verzija: 1"</f>
        <v>2111 - Ministrstvo za gospodarstvo, verzija: 1</v>
      </c>
    </row>
    <row r="891" spans="2:13" ht="12.75">
      <c r="B891" t="s">
        <v>3</v>
      </c>
      <c r="D891" t="s">
        <v>4</v>
      </c>
      <c r="F891" t="s">
        <v>5</v>
      </c>
      <c r="H891" t="s">
        <v>6</v>
      </c>
      <c r="J891" t="s">
        <v>7</v>
      </c>
      <c r="K891" s="4" t="s">
        <v>8</v>
      </c>
      <c r="L891" s="4" t="s">
        <v>9</v>
      </c>
      <c r="M891" t="s">
        <v>10</v>
      </c>
    </row>
    <row r="892" spans="2:12" ht="12.75">
      <c r="B892" t="str">
        <f>"1927"</f>
        <v>1927</v>
      </c>
      <c r="C892" t="s">
        <v>302</v>
      </c>
      <c r="D892">
        <v>420704</v>
      </c>
      <c r="E892" t="s">
        <v>24</v>
      </c>
      <c r="F892">
        <v>370001</v>
      </c>
      <c r="G892" t="s">
        <v>133</v>
      </c>
      <c r="H892">
        <v>37</v>
      </c>
      <c r="I892" t="s">
        <v>134</v>
      </c>
      <c r="J892">
        <v>1</v>
      </c>
      <c r="K892" s="4">
        <v>8000</v>
      </c>
      <c r="L892" s="4">
        <v>8000</v>
      </c>
    </row>
    <row r="893" spans="2:12" ht="12.75">
      <c r="B893" t="str">
        <f aca="true" t="shared" si="43" ref="B893:B905">"2877"</f>
        <v>2877</v>
      </c>
      <c r="C893" t="s">
        <v>27</v>
      </c>
      <c r="D893">
        <v>420202</v>
      </c>
      <c r="E893" t="s">
        <v>19</v>
      </c>
      <c r="F893">
        <v>10003</v>
      </c>
      <c r="G893" t="s">
        <v>28</v>
      </c>
      <c r="H893">
        <v>1</v>
      </c>
      <c r="I893" t="s">
        <v>21</v>
      </c>
      <c r="J893">
        <v>50</v>
      </c>
      <c r="K893" s="4">
        <v>835</v>
      </c>
      <c r="L893" s="4">
        <v>41750</v>
      </c>
    </row>
    <row r="894" spans="2:12" ht="12.75">
      <c r="B894" t="str">
        <f t="shared" si="43"/>
        <v>2877</v>
      </c>
      <c r="C894" t="s">
        <v>27</v>
      </c>
      <c r="D894">
        <v>420202</v>
      </c>
      <c r="E894" t="s">
        <v>19</v>
      </c>
      <c r="F894">
        <v>20002</v>
      </c>
      <c r="G894" t="s">
        <v>58</v>
      </c>
      <c r="H894">
        <v>2</v>
      </c>
      <c r="I894" t="s">
        <v>30</v>
      </c>
      <c r="J894">
        <v>18</v>
      </c>
      <c r="K894" s="4">
        <v>2000</v>
      </c>
      <c r="L894" s="4">
        <v>36000</v>
      </c>
    </row>
    <row r="895" spans="2:12" ht="12.75">
      <c r="B895" t="str">
        <f t="shared" si="43"/>
        <v>2877</v>
      </c>
      <c r="C895" t="s">
        <v>27</v>
      </c>
      <c r="D895">
        <v>420202</v>
      </c>
      <c r="E895" t="s">
        <v>19</v>
      </c>
      <c r="F895">
        <v>40002</v>
      </c>
      <c r="G895" t="s">
        <v>22</v>
      </c>
      <c r="H895">
        <v>4</v>
      </c>
      <c r="I895" t="s">
        <v>23</v>
      </c>
      <c r="J895">
        <v>50</v>
      </c>
      <c r="K895" s="4">
        <v>295</v>
      </c>
      <c r="L895" s="4">
        <v>14750</v>
      </c>
    </row>
    <row r="896" spans="2:12" ht="12.75">
      <c r="B896" t="str">
        <f t="shared" si="43"/>
        <v>2877</v>
      </c>
      <c r="C896" t="s">
        <v>27</v>
      </c>
      <c r="D896">
        <v>420202</v>
      </c>
      <c r="E896" t="s">
        <v>19</v>
      </c>
      <c r="F896">
        <v>40005</v>
      </c>
      <c r="G896" t="s">
        <v>25</v>
      </c>
      <c r="H896">
        <v>4</v>
      </c>
      <c r="I896" t="s">
        <v>23</v>
      </c>
      <c r="J896">
        <v>1</v>
      </c>
      <c r="K896" s="4">
        <v>9911</v>
      </c>
      <c r="L896" s="4">
        <v>9911</v>
      </c>
    </row>
    <row r="897" spans="2:12" ht="12.75">
      <c r="B897" t="str">
        <f t="shared" si="43"/>
        <v>2877</v>
      </c>
      <c r="C897" t="s">
        <v>27</v>
      </c>
      <c r="D897">
        <v>420202</v>
      </c>
      <c r="E897" t="s">
        <v>19</v>
      </c>
      <c r="F897">
        <v>60002</v>
      </c>
      <c r="G897" t="s">
        <v>31</v>
      </c>
      <c r="H897">
        <v>6</v>
      </c>
      <c r="I897" t="s">
        <v>32</v>
      </c>
      <c r="J897">
        <v>10</v>
      </c>
      <c r="K897" s="4">
        <v>800</v>
      </c>
      <c r="L897" s="4">
        <v>8000</v>
      </c>
    </row>
    <row r="898" spans="2:12" ht="12.75">
      <c r="B898" t="str">
        <f t="shared" si="43"/>
        <v>2877</v>
      </c>
      <c r="C898" t="s">
        <v>27</v>
      </c>
      <c r="D898">
        <v>420222</v>
      </c>
      <c r="E898" t="s">
        <v>60</v>
      </c>
      <c r="F898">
        <v>190008</v>
      </c>
      <c r="G898" t="s">
        <v>87</v>
      </c>
      <c r="H898">
        <v>19</v>
      </c>
      <c r="I898" t="s">
        <v>62</v>
      </c>
      <c r="J898">
        <v>1</v>
      </c>
      <c r="K898" s="4">
        <v>10000</v>
      </c>
      <c r="L898" s="4">
        <v>10000</v>
      </c>
    </row>
    <row r="899" spans="2:12" ht="12.75">
      <c r="B899" t="str">
        <f t="shared" si="43"/>
        <v>2877</v>
      </c>
      <c r="C899" t="s">
        <v>27</v>
      </c>
      <c r="D899">
        <v>420222</v>
      </c>
      <c r="E899" t="s">
        <v>60</v>
      </c>
      <c r="F899">
        <v>240007</v>
      </c>
      <c r="G899" t="s">
        <v>303</v>
      </c>
      <c r="H899">
        <v>24</v>
      </c>
      <c r="I899" t="s">
        <v>118</v>
      </c>
      <c r="J899">
        <v>1</v>
      </c>
      <c r="K899" s="4">
        <v>10000</v>
      </c>
      <c r="L899" s="4">
        <v>10000</v>
      </c>
    </row>
    <row r="900" spans="2:12" ht="12.75">
      <c r="B900" t="str">
        <f t="shared" si="43"/>
        <v>2877</v>
      </c>
      <c r="C900" t="s">
        <v>27</v>
      </c>
      <c r="D900">
        <v>420238</v>
      </c>
      <c r="E900" t="s">
        <v>34</v>
      </c>
      <c r="F900">
        <v>120001</v>
      </c>
      <c r="G900" t="s">
        <v>114</v>
      </c>
      <c r="H900">
        <v>12</v>
      </c>
      <c r="I900" t="s">
        <v>38</v>
      </c>
      <c r="J900">
        <v>50</v>
      </c>
      <c r="K900" s="4">
        <v>1500</v>
      </c>
      <c r="L900" s="4">
        <v>75000</v>
      </c>
    </row>
    <row r="901" spans="2:12" ht="12.75">
      <c r="B901" t="str">
        <f t="shared" si="43"/>
        <v>2877</v>
      </c>
      <c r="C901" t="s">
        <v>27</v>
      </c>
      <c r="D901">
        <v>420238</v>
      </c>
      <c r="E901" t="s">
        <v>34</v>
      </c>
      <c r="F901">
        <v>120003</v>
      </c>
      <c r="G901" t="s">
        <v>37</v>
      </c>
      <c r="H901">
        <v>12</v>
      </c>
      <c r="I901" t="s">
        <v>38</v>
      </c>
      <c r="J901">
        <v>1</v>
      </c>
      <c r="K901" s="4">
        <v>12000</v>
      </c>
      <c r="L901" s="4">
        <v>12000</v>
      </c>
    </row>
    <row r="902" spans="2:12" ht="12.75">
      <c r="B902" t="str">
        <f t="shared" si="43"/>
        <v>2877</v>
      </c>
      <c r="C902" t="s">
        <v>27</v>
      </c>
      <c r="D902">
        <v>420238</v>
      </c>
      <c r="E902" t="s">
        <v>34</v>
      </c>
      <c r="F902">
        <v>120007</v>
      </c>
      <c r="G902" t="s">
        <v>25</v>
      </c>
      <c r="H902">
        <v>12</v>
      </c>
      <c r="I902" t="s">
        <v>38</v>
      </c>
      <c r="J902">
        <v>50</v>
      </c>
      <c r="K902" s="4">
        <v>203.56</v>
      </c>
      <c r="L902" s="4">
        <v>10178</v>
      </c>
    </row>
    <row r="903" spans="2:12" ht="12.75">
      <c r="B903" t="str">
        <f t="shared" si="43"/>
        <v>2877</v>
      </c>
      <c r="C903" t="s">
        <v>27</v>
      </c>
      <c r="D903">
        <v>420238</v>
      </c>
      <c r="E903" t="s">
        <v>34</v>
      </c>
      <c r="F903">
        <v>290001</v>
      </c>
      <c r="G903" t="s">
        <v>207</v>
      </c>
      <c r="H903">
        <v>29</v>
      </c>
      <c r="I903" t="s">
        <v>142</v>
      </c>
      <c r="J903">
        <v>1500</v>
      </c>
      <c r="K903" s="4">
        <v>50</v>
      </c>
      <c r="L903" s="4">
        <v>75000</v>
      </c>
    </row>
    <row r="904" spans="2:13" ht="12.75">
      <c r="B904" t="str">
        <f t="shared" si="43"/>
        <v>2877</v>
      </c>
      <c r="C904" t="s">
        <v>27</v>
      </c>
      <c r="D904">
        <v>420703</v>
      </c>
      <c r="E904" t="s">
        <v>51</v>
      </c>
      <c r="F904">
        <v>310005</v>
      </c>
      <c r="G904" t="s">
        <v>46</v>
      </c>
      <c r="H904">
        <v>31</v>
      </c>
      <c r="I904" t="s">
        <v>26</v>
      </c>
      <c r="J904">
        <v>250</v>
      </c>
      <c r="K904" s="4">
        <v>417.29</v>
      </c>
      <c r="L904" s="4">
        <v>104322.5</v>
      </c>
      <c r="M904" t="s">
        <v>304</v>
      </c>
    </row>
    <row r="905" spans="2:13" ht="12.75">
      <c r="B905" t="str">
        <f t="shared" si="43"/>
        <v>2877</v>
      </c>
      <c r="C905" t="s">
        <v>27</v>
      </c>
      <c r="D905">
        <v>420704</v>
      </c>
      <c r="E905" t="s">
        <v>24</v>
      </c>
      <c r="F905">
        <v>370001</v>
      </c>
      <c r="G905" t="s">
        <v>133</v>
      </c>
      <c r="H905">
        <v>37</v>
      </c>
      <c r="I905" t="s">
        <v>134</v>
      </c>
      <c r="J905">
        <v>1</v>
      </c>
      <c r="K905" s="4">
        <v>5000</v>
      </c>
      <c r="L905" s="4">
        <v>5000</v>
      </c>
      <c r="M905" t="s">
        <v>305</v>
      </c>
    </row>
    <row r="906" spans="2:12" ht="12.75">
      <c r="B906" t="str">
        <f aca="true" t="shared" si="44" ref="B906:B913">"3342"</f>
        <v>3342</v>
      </c>
      <c r="C906" t="s">
        <v>40</v>
      </c>
      <c r="D906">
        <v>402011</v>
      </c>
      <c r="E906" t="s">
        <v>54</v>
      </c>
      <c r="F906">
        <v>310004</v>
      </c>
      <c r="G906" t="s">
        <v>121</v>
      </c>
      <c r="H906">
        <v>31</v>
      </c>
      <c r="I906" t="s">
        <v>26</v>
      </c>
      <c r="J906">
        <v>20</v>
      </c>
      <c r="K906" s="4">
        <v>4500</v>
      </c>
      <c r="L906" s="4">
        <v>90000</v>
      </c>
    </row>
    <row r="907" spans="2:12" ht="12.75">
      <c r="B907" t="str">
        <f t="shared" si="44"/>
        <v>3342</v>
      </c>
      <c r="C907" t="s">
        <v>40</v>
      </c>
      <c r="D907">
        <v>402011</v>
      </c>
      <c r="E907" t="s">
        <v>54</v>
      </c>
      <c r="F907">
        <v>350001</v>
      </c>
      <c r="G907" t="s">
        <v>16</v>
      </c>
      <c r="H907">
        <v>35</v>
      </c>
      <c r="I907" t="s">
        <v>17</v>
      </c>
      <c r="J907">
        <v>350</v>
      </c>
      <c r="K907" s="4">
        <v>200</v>
      </c>
      <c r="L907" s="4">
        <v>70000</v>
      </c>
    </row>
    <row r="908" spans="2:12" ht="12.75">
      <c r="B908" t="str">
        <f t="shared" si="44"/>
        <v>3342</v>
      </c>
      <c r="C908" t="s">
        <v>40</v>
      </c>
      <c r="D908">
        <v>402510</v>
      </c>
      <c r="E908" t="s">
        <v>12</v>
      </c>
      <c r="F908">
        <v>400014</v>
      </c>
      <c r="G908" t="s">
        <v>38</v>
      </c>
      <c r="H908">
        <v>40</v>
      </c>
      <c r="I908" t="s">
        <v>50</v>
      </c>
      <c r="J908">
        <v>50</v>
      </c>
      <c r="K908" s="4">
        <v>1200</v>
      </c>
      <c r="L908" s="4">
        <v>60000</v>
      </c>
    </row>
    <row r="909" spans="2:12" ht="12.75">
      <c r="B909" t="str">
        <f t="shared" si="44"/>
        <v>3342</v>
      </c>
      <c r="C909" t="s">
        <v>40</v>
      </c>
      <c r="D909">
        <v>402510</v>
      </c>
      <c r="E909" t="s">
        <v>12</v>
      </c>
      <c r="F909">
        <v>400022</v>
      </c>
      <c r="G909" t="s">
        <v>142</v>
      </c>
      <c r="H909">
        <v>40</v>
      </c>
      <c r="I909" t="s">
        <v>50</v>
      </c>
      <c r="J909">
        <v>200</v>
      </c>
      <c r="K909" s="4">
        <v>250</v>
      </c>
      <c r="L909" s="4">
        <v>50000</v>
      </c>
    </row>
    <row r="910" spans="2:12" ht="12.75">
      <c r="B910" t="str">
        <f t="shared" si="44"/>
        <v>3342</v>
      </c>
      <c r="C910" t="s">
        <v>40</v>
      </c>
      <c r="D910">
        <v>402515</v>
      </c>
      <c r="E910" t="s">
        <v>15</v>
      </c>
      <c r="F910">
        <v>400001</v>
      </c>
      <c r="G910" t="s">
        <v>21</v>
      </c>
      <c r="H910">
        <v>40</v>
      </c>
      <c r="I910" t="s">
        <v>50</v>
      </c>
      <c r="J910">
        <v>350</v>
      </c>
      <c r="K910" s="4">
        <v>100</v>
      </c>
      <c r="L910" s="4">
        <v>35000</v>
      </c>
    </row>
    <row r="911" spans="2:12" ht="12.75">
      <c r="B911" t="str">
        <f t="shared" si="44"/>
        <v>3342</v>
      </c>
      <c r="C911" t="s">
        <v>40</v>
      </c>
      <c r="D911">
        <v>402515</v>
      </c>
      <c r="E911" t="s">
        <v>15</v>
      </c>
      <c r="F911">
        <v>400002</v>
      </c>
      <c r="G911" t="s">
        <v>30</v>
      </c>
      <c r="H911">
        <v>40</v>
      </c>
      <c r="I911" t="s">
        <v>50</v>
      </c>
      <c r="J911">
        <v>100</v>
      </c>
      <c r="K911" s="4">
        <v>200</v>
      </c>
      <c r="L911" s="4">
        <v>20000</v>
      </c>
    </row>
    <row r="912" spans="2:12" ht="12.75">
      <c r="B912" t="str">
        <f t="shared" si="44"/>
        <v>3342</v>
      </c>
      <c r="C912" t="s">
        <v>40</v>
      </c>
      <c r="D912">
        <v>402515</v>
      </c>
      <c r="E912" t="s">
        <v>15</v>
      </c>
      <c r="F912">
        <v>400012</v>
      </c>
      <c r="G912" t="s">
        <v>90</v>
      </c>
      <c r="H912">
        <v>40</v>
      </c>
      <c r="I912" t="s">
        <v>50</v>
      </c>
      <c r="J912">
        <v>20</v>
      </c>
      <c r="K912" s="4">
        <v>1250</v>
      </c>
      <c r="L912" s="4">
        <v>25000</v>
      </c>
    </row>
    <row r="913" spans="2:12" ht="12.75">
      <c r="B913" t="str">
        <f t="shared" si="44"/>
        <v>3342</v>
      </c>
      <c r="C913" t="s">
        <v>40</v>
      </c>
      <c r="D913">
        <v>402604</v>
      </c>
      <c r="E913" t="s">
        <v>97</v>
      </c>
      <c r="F913">
        <v>10002</v>
      </c>
      <c r="G913" t="s">
        <v>20</v>
      </c>
      <c r="H913">
        <v>1</v>
      </c>
      <c r="I913" t="s">
        <v>21</v>
      </c>
      <c r="J913">
        <v>10</v>
      </c>
      <c r="K913" s="4">
        <v>709.3</v>
      </c>
      <c r="L913" s="4">
        <v>7093</v>
      </c>
    </row>
    <row r="914" spans="1:2" ht="12.75">
      <c r="A914" t="s">
        <v>47</v>
      </c>
      <c r="B914">
        <f>SUM(L892:L913)</f>
        <v>777004.5</v>
      </c>
    </row>
    <row r="916" ht="12.75">
      <c r="A916" t="str">
        <f>"2120 - Urad RS za varstvo potrošnikov, verzija: 1"</f>
        <v>2120 - Urad RS za varstvo potrošnikov, verzija: 1</v>
      </c>
    </row>
    <row r="917" spans="2:13" ht="12.75">
      <c r="B917" t="s">
        <v>3</v>
      </c>
      <c r="D917" t="s">
        <v>4</v>
      </c>
      <c r="F917" t="s">
        <v>5</v>
      </c>
      <c r="H917" t="s">
        <v>6</v>
      </c>
      <c r="J917" t="s">
        <v>7</v>
      </c>
      <c r="K917" s="4" t="s">
        <v>8</v>
      </c>
      <c r="L917" s="4" t="s">
        <v>9</v>
      </c>
      <c r="M917" t="s">
        <v>10</v>
      </c>
    </row>
    <row r="918" spans="2:12" ht="12.75">
      <c r="B918" t="str">
        <f>"1740"</f>
        <v>1740</v>
      </c>
      <c r="C918" t="s">
        <v>40</v>
      </c>
      <c r="D918">
        <v>402510</v>
      </c>
      <c r="E918" t="s">
        <v>12</v>
      </c>
      <c r="F918">
        <v>410004</v>
      </c>
      <c r="G918" t="s">
        <v>265</v>
      </c>
      <c r="H918">
        <v>41</v>
      </c>
      <c r="I918" t="s">
        <v>14</v>
      </c>
      <c r="J918">
        <v>1</v>
      </c>
      <c r="K918" s="4">
        <v>3835</v>
      </c>
      <c r="L918" s="4">
        <v>3835</v>
      </c>
    </row>
    <row r="919" spans="1:2" ht="12.75">
      <c r="A919" t="s">
        <v>47</v>
      </c>
      <c r="B919">
        <f>SUM(L918:L918)</f>
        <v>3835</v>
      </c>
    </row>
    <row r="921" ht="12.75">
      <c r="A921" t="str">
        <f>"2121 - Urad RS za varstvo konkurence, verzija: 1"</f>
        <v>2121 - Urad RS za varstvo konkurence, verzija: 1</v>
      </c>
    </row>
    <row r="922" spans="2:13" ht="12.75">
      <c r="B922" t="s">
        <v>3</v>
      </c>
      <c r="D922" t="s">
        <v>4</v>
      </c>
      <c r="F922" t="s">
        <v>5</v>
      </c>
      <c r="H922" t="s">
        <v>6</v>
      </c>
      <c r="J922" t="s">
        <v>7</v>
      </c>
      <c r="K922" s="4" t="s">
        <v>8</v>
      </c>
      <c r="L922" s="4" t="s">
        <v>9</v>
      </c>
      <c r="M922" t="s">
        <v>10</v>
      </c>
    </row>
    <row r="923" spans="2:12" ht="12.75">
      <c r="B923" t="str">
        <f>"1560"</f>
        <v>1560</v>
      </c>
      <c r="C923" t="s">
        <v>27</v>
      </c>
      <c r="D923">
        <v>420202</v>
      </c>
      <c r="E923" t="s">
        <v>19</v>
      </c>
      <c r="F923">
        <v>10003</v>
      </c>
      <c r="G923" t="s">
        <v>28</v>
      </c>
      <c r="H923">
        <v>1</v>
      </c>
      <c r="I923" t="s">
        <v>21</v>
      </c>
      <c r="J923">
        <v>1</v>
      </c>
      <c r="K923" s="4">
        <v>2459</v>
      </c>
      <c r="L923" s="4">
        <v>2459</v>
      </c>
    </row>
    <row r="924" spans="2:12" ht="12.75">
      <c r="B924" t="str">
        <f>"1560"</f>
        <v>1560</v>
      </c>
      <c r="C924" t="s">
        <v>27</v>
      </c>
      <c r="D924">
        <v>420238</v>
      </c>
      <c r="E924" t="s">
        <v>34</v>
      </c>
      <c r="F924">
        <v>30005</v>
      </c>
      <c r="G924" t="s">
        <v>25</v>
      </c>
      <c r="H924">
        <v>3</v>
      </c>
      <c r="I924" t="s">
        <v>78</v>
      </c>
      <c r="J924">
        <v>2</v>
      </c>
      <c r="K924" s="4">
        <v>130</v>
      </c>
      <c r="L924" s="4">
        <v>260</v>
      </c>
    </row>
    <row r="925" spans="2:12" ht="12.75">
      <c r="B925" t="str">
        <f>"1560"</f>
        <v>1560</v>
      </c>
      <c r="C925" t="s">
        <v>27</v>
      </c>
      <c r="D925">
        <v>420238</v>
      </c>
      <c r="E925" t="s">
        <v>34</v>
      </c>
      <c r="F925">
        <v>60004</v>
      </c>
      <c r="G925" t="s">
        <v>33</v>
      </c>
      <c r="H925">
        <v>6</v>
      </c>
      <c r="I925" t="s">
        <v>32</v>
      </c>
      <c r="J925">
        <v>1</v>
      </c>
      <c r="K925" s="4">
        <v>1000</v>
      </c>
      <c r="L925" s="4">
        <v>1000</v>
      </c>
    </row>
    <row r="926" spans="2:13" ht="12.75">
      <c r="B926" t="str">
        <f>"1560"</f>
        <v>1560</v>
      </c>
      <c r="C926" t="s">
        <v>27</v>
      </c>
      <c r="D926">
        <v>420703</v>
      </c>
      <c r="E926" t="s">
        <v>51</v>
      </c>
      <c r="F926">
        <v>310009</v>
      </c>
      <c r="G926" t="s">
        <v>25</v>
      </c>
      <c r="H926">
        <v>31</v>
      </c>
      <c r="I926" t="s">
        <v>26</v>
      </c>
      <c r="J926">
        <v>1</v>
      </c>
      <c r="K926" s="4">
        <v>3800</v>
      </c>
      <c r="L926" s="4">
        <v>3800</v>
      </c>
      <c r="M926" t="s">
        <v>304</v>
      </c>
    </row>
    <row r="927" spans="2:12" ht="12.75">
      <c r="B927" t="str">
        <f>"1741"</f>
        <v>1741</v>
      </c>
      <c r="C927" t="s">
        <v>40</v>
      </c>
      <c r="D927">
        <v>402510</v>
      </c>
      <c r="E927" t="s">
        <v>12</v>
      </c>
      <c r="F927">
        <v>410004</v>
      </c>
      <c r="G927" t="s">
        <v>265</v>
      </c>
      <c r="H927">
        <v>41</v>
      </c>
      <c r="I927" t="s">
        <v>14</v>
      </c>
      <c r="J927">
        <v>1</v>
      </c>
      <c r="K927" s="4">
        <v>4171</v>
      </c>
      <c r="L927" s="4">
        <v>4171</v>
      </c>
    </row>
    <row r="928" spans="1:2" ht="12.75">
      <c r="A928" t="s">
        <v>47</v>
      </c>
      <c r="B928">
        <f>SUM(L923:L927)</f>
        <v>11690</v>
      </c>
    </row>
    <row r="930" ht="12.75">
      <c r="A930" t="str">
        <f>"2123 - Tržni inšpektorat RS, verzija: 2"</f>
        <v>2123 - Tržni inšpektorat RS, verzija: 2</v>
      </c>
    </row>
    <row r="931" spans="2:13" ht="12.75">
      <c r="B931" t="s">
        <v>3</v>
      </c>
      <c r="D931" t="s">
        <v>4</v>
      </c>
      <c r="F931" t="s">
        <v>5</v>
      </c>
      <c r="H931" t="s">
        <v>6</v>
      </c>
      <c r="J931" t="s">
        <v>7</v>
      </c>
      <c r="K931" s="4" t="s">
        <v>8</v>
      </c>
      <c r="L931" s="4" t="s">
        <v>9</v>
      </c>
      <c r="M931" t="s">
        <v>10</v>
      </c>
    </row>
    <row r="932" spans="2:12" ht="12.75">
      <c r="B932" t="str">
        <f aca="true" t="shared" si="45" ref="B932:B947">"1571"</f>
        <v>1571</v>
      </c>
      <c r="C932" t="s">
        <v>27</v>
      </c>
      <c r="D932">
        <v>420222</v>
      </c>
      <c r="E932" t="s">
        <v>60</v>
      </c>
      <c r="F932">
        <v>190009</v>
      </c>
      <c r="G932" t="s">
        <v>144</v>
      </c>
      <c r="H932">
        <v>19</v>
      </c>
      <c r="I932" t="s">
        <v>62</v>
      </c>
      <c r="J932">
        <v>1</v>
      </c>
      <c r="K932" s="4">
        <v>4200</v>
      </c>
      <c r="L932" s="4">
        <v>4200</v>
      </c>
    </row>
    <row r="933" spans="2:12" ht="12.75">
      <c r="B933" t="str">
        <f t="shared" si="45"/>
        <v>1571</v>
      </c>
      <c r="C933" t="s">
        <v>27</v>
      </c>
      <c r="D933">
        <v>420222</v>
      </c>
      <c r="E933" t="s">
        <v>60</v>
      </c>
      <c r="F933">
        <v>240002</v>
      </c>
      <c r="G933" t="s">
        <v>166</v>
      </c>
      <c r="H933">
        <v>24</v>
      </c>
      <c r="I933" t="s">
        <v>118</v>
      </c>
      <c r="J933">
        <v>1</v>
      </c>
      <c r="K933" s="4">
        <v>15000</v>
      </c>
      <c r="L933" s="4">
        <v>15000</v>
      </c>
    </row>
    <row r="934" spans="2:12" ht="12.75">
      <c r="B934" t="str">
        <f t="shared" si="45"/>
        <v>1571</v>
      </c>
      <c r="C934" t="s">
        <v>27</v>
      </c>
      <c r="D934">
        <v>420238</v>
      </c>
      <c r="E934" t="s">
        <v>34</v>
      </c>
      <c r="F934">
        <v>120001</v>
      </c>
      <c r="G934" t="s">
        <v>114</v>
      </c>
      <c r="H934">
        <v>12</v>
      </c>
      <c r="I934" t="s">
        <v>38</v>
      </c>
      <c r="J934">
        <v>4</v>
      </c>
      <c r="K934" s="4">
        <v>100</v>
      </c>
      <c r="L934" s="4">
        <v>400</v>
      </c>
    </row>
    <row r="935" spans="2:12" ht="12.75">
      <c r="B935" t="str">
        <f t="shared" si="45"/>
        <v>1571</v>
      </c>
      <c r="C935" t="s">
        <v>27</v>
      </c>
      <c r="D935">
        <v>420238</v>
      </c>
      <c r="E935" t="s">
        <v>34</v>
      </c>
      <c r="F935">
        <v>290001</v>
      </c>
      <c r="G935" t="s">
        <v>207</v>
      </c>
      <c r="H935">
        <v>29</v>
      </c>
      <c r="I935" t="s">
        <v>142</v>
      </c>
      <c r="J935">
        <v>1</v>
      </c>
      <c r="K935" s="4">
        <v>1000</v>
      </c>
      <c r="L935" s="4">
        <v>1000</v>
      </c>
    </row>
    <row r="936" spans="2:12" ht="12.75">
      <c r="B936" t="str">
        <f t="shared" si="45"/>
        <v>1571</v>
      </c>
      <c r="C936" t="s">
        <v>27</v>
      </c>
      <c r="D936">
        <v>420248</v>
      </c>
      <c r="E936" t="s">
        <v>36</v>
      </c>
      <c r="F936">
        <v>10002</v>
      </c>
      <c r="G936" t="s">
        <v>20</v>
      </c>
      <c r="H936">
        <v>1</v>
      </c>
      <c r="I936" t="s">
        <v>21</v>
      </c>
      <c r="J936">
        <v>22</v>
      </c>
      <c r="K936" s="4">
        <v>500</v>
      </c>
      <c r="L936" s="4">
        <v>11000</v>
      </c>
    </row>
    <row r="937" spans="2:12" ht="12.75">
      <c r="B937" t="str">
        <f t="shared" si="45"/>
        <v>1571</v>
      </c>
      <c r="C937" t="s">
        <v>27</v>
      </c>
      <c r="D937">
        <v>420248</v>
      </c>
      <c r="E937" t="s">
        <v>36</v>
      </c>
      <c r="F937">
        <v>20001</v>
      </c>
      <c r="G937" t="s">
        <v>29</v>
      </c>
      <c r="H937">
        <v>2</v>
      </c>
      <c r="I937" t="s">
        <v>30</v>
      </c>
      <c r="J937">
        <v>10</v>
      </c>
      <c r="K937" s="4">
        <v>1100</v>
      </c>
      <c r="L937" s="4">
        <v>11000</v>
      </c>
    </row>
    <row r="938" spans="2:12" ht="12.75">
      <c r="B938" t="str">
        <f t="shared" si="45"/>
        <v>1571</v>
      </c>
      <c r="C938" t="s">
        <v>27</v>
      </c>
      <c r="D938">
        <v>420248</v>
      </c>
      <c r="E938" t="s">
        <v>36</v>
      </c>
      <c r="F938">
        <v>40001</v>
      </c>
      <c r="G938" t="s">
        <v>59</v>
      </c>
      <c r="H938">
        <v>4</v>
      </c>
      <c r="I938" t="s">
        <v>23</v>
      </c>
      <c r="J938">
        <v>26</v>
      </c>
      <c r="K938" s="4">
        <v>180</v>
      </c>
      <c r="L938" s="4">
        <v>4680</v>
      </c>
    </row>
    <row r="939" spans="2:12" ht="12.75">
      <c r="B939" t="str">
        <f t="shared" si="45"/>
        <v>1571</v>
      </c>
      <c r="C939" t="s">
        <v>27</v>
      </c>
      <c r="D939">
        <v>420248</v>
      </c>
      <c r="E939" t="s">
        <v>36</v>
      </c>
      <c r="F939">
        <v>60002</v>
      </c>
      <c r="G939" t="s">
        <v>31</v>
      </c>
      <c r="H939">
        <v>6</v>
      </c>
      <c r="I939" t="s">
        <v>32</v>
      </c>
      <c r="J939">
        <v>8</v>
      </c>
      <c r="K939" s="4">
        <v>220</v>
      </c>
      <c r="L939" s="4">
        <v>1760</v>
      </c>
    </row>
    <row r="940" spans="2:12" ht="12.75">
      <c r="B940" t="str">
        <f t="shared" si="45"/>
        <v>1571</v>
      </c>
      <c r="C940" t="s">
        <v>27</v>
      </c>
      <c r="D940">
        <v>420248</v>
      </c>
      <c r="E940" t="s">
        <v>36</v>
      </c>
      <c r="F940">
        <v>60003</v>
      </c>
      <c r="G940" t="s">
        <v>157</v>
      </c>
      <c r="H940">
        <v>6</v>
      </c>
      <c r="I940" t="s">
        <v>32</v>
      </c>
      <c r="J940">
        <v>7</v>
      </c>
      <c r="K940" s="4">
        <v>270</v>
      </c>
      <c r="L940" s="4">
        <v>1890</v>
      </c>
    </row>
    <row r="941" spans="2:12" ht="12.75">
      <c r="B941" t="str">
        <f t="shared" si="45"/>
        <v>1571</v>
      </c>
      <c r="C941" t="s">
        <v>27</v>
      </c>
      <c r="D941">
        <v>420249</v>
      </c>
      <c r="E941" t="s">
        <v>39</v>
      </c>
      <c r="F941">
        <v>60002</v>
      </c>
      <c r="G941" t="s">
        <v>31</v>
      </c>
      <c r="H941">
        <v>6</v>
      </c>
      <c r="I941" t="s">
        <v>32</v>
      </c>
      <c r="J941">
        <v>1</v>
      </c>
      <c r="K941" s="4">
        <v>1250</v>
      </c>
      <c r="L941" s="4">
        <v>1250</v>
      </c>
    </row>
    <row r="942" spans="2:12" ht="12.75">
      <c r="B942" t="str">
        <f t="shared" si="45"/>
        <v>1571</v>
      </c>
      <c r="C942" t="s">
        <v>27</v>
      </c>
      <c r="D942">
        <v>420703</v>
      </c>
      <c r="E942" t="s">
        <v>51</v>
      </c>
      <c r="F942">
        <v>310004</v>
      </c>
      <c r="G942" t="s">
        <v>121</v>
      </c>
      <c r="H942">
        <v>31</v>
      </c>
      <c r="I942" t="s">
        <v>26</v>
      </c>
      <c r="J942">
        <v>32</v>
      </c>
      <c r="K942" s="4">
        <v>190</v>
      </c>
      <c r="L942" s="4">
        <v>6080</v>
      </c>
    </row>
    <row r="943" spans="2:12" ht="12.75">
      <c r="B943" t="str">
        <f t="shared" si="45"/>
        <v>1571</v>
      </c>
      <c r="C943" t="s">
        <v>27</v>
      </c>
      <c r="D943">
        <v>420703</v>
      </c>
      <c r="E943" t="s">
        <v>51</v>
      </c>
      <c r="F943">
        <v>310004</v>
      </c>
      <c r="G943" t="s">
        <v>121</v>
      </c>
      <c r="H943">
        <v>31</v>
      </c>
      <c r="I943" t="s">
        <v>26</v>
      </c>
      <c r="J943">
        <v>1</v>
      </c>
      <c r="K943" s="4">
        <v>500</v>
      </c>
      <c r="L943" s="4">
        <v>500</v>
      </c>
    </row>
    <row r="944" spans="2:12" ht="12.75">
      <c r="B944" t="str">
        <f t="shared" si="45"/>
        <v>1571</v>
      </c>
      <c r="C944" t="s">
        <v>27</v>
      </c>
      <c r="D944">
        <v>420703</v>
      </c>
      <c r="E944" t="s">
        <v>51</v>
      </c>
      <c r="F944">
        <v>310005</v>
      </c>
      <c r="G944" t="s">
        <v>46</v>
      </c>
      <c r="H944">
        <v>31</v>
      </c>
      <c r="I944" t="s">
        <v>26</v>
      </c>
      <c r="J944">
        <v>32</v>
      </c>
      <c r="K944" s="4">
        <v>300</v>
      </c>
      <c r="L944" s="4">
        <v>9600</v>
      </c>
    </row>
    <row r="945" spans="2:12" ht="12.75">
      <c r="B945" t="str">
        <f t="shared" si="45"/>
        <v>1571</v>
      </c>
      <c r="C945" t="s">
        <v>27</v>
      </c>
      <c r="D945">
        <v>420703</v>
      </c>
      <c r="E945" t="s">
        <v>51</v>
      </c>
      <c r="F945">
        <v>310005</v>
      </c>
      <c r="G945" t="s">
        <v>46</v>
      </c>
      <c r="H945">
        <v>31</v>
      </c>
      <c r="I945" t="s">
        <v>26</v>
      </c>
      <c r="J945">
        <v>1</v>
      </c>
      <c r="K945" s="4">
        <v>5000</v>
      </c>
      <c r="L945" s="4">
        <v>5000</v>
      </c>
    </row>
    <row r="946" spans="2:12" ht="12.75">
      <c r="B946" t="str">
        <f t="shared" si="45"/>
        <v>1571</v>
      </c>
      <c r="C946" t="s">
        <v>27</v>
      </c>
      <c r="D946">
        <v>420703</v>
      </c>
      <c r="E946" t="s">
        <v>51</v>
      </c>
      <c r="F946">
        <v>310008</v>
      </c>
      <c r="G946" t="s">
        <v>148</v>
      </c>
      <c r="H946">
        <v>31</v>
      </c>
      <c r="I946" t="s">
        <v>26</v>
      </c>
      <c r="J946">
        <v>1</v>
      </c>
      <c r="K946" s="4">
        <v>3500</v>
      </c>
      <c r="L946" s="4">
        <v>3500</v>
      </c>
    </row>
    <row r="947" spans="2:12" ht="12.75">
      <c r="B947" t="str">
        <f t="shared" si="45"/>
        <v>1571</v>
      </c>
      <c r="C947" t="s">
        <v>27</v>
      </c>
      <c r="D947">
        <v>420703</v>
      </c>
      <c r="E947" t="s">
        <v>51</v>
      </c>
      <c r="F947">
        <v>410006</v>
      </c>
      <c r="G947" t="s">
        <v>148</v>
      </c>
      <c r="H947">
        <v>41</v>
      </c>
      <c r="I947" t="s">
        <v>14</v>
      </c>
      <c r="J947">
        <v>1</v>
      </c>
      <c r="K947" s="4">
        <v>50000</v>
      </c>
      <c r="L947" s="4">
        <v>50000</v>
      </c>
    </row>
    <row r="948" spans="2:12" ht="12.75">
      <c r="B948" t="str">
        <f aca="true" t="shared" si="46" ref="B948:B959">"1763"</f>
        <v>1763</v>
      </c>
      <c r="C948" t="s">
        <v>40</v>
      </c>
      <c r="D948">
        <v>402011</v>
      </c>
      <c r="E948" t="s">
        <v>54</v>
      </c>
      <c r="F948">
        <v>390001</v>
      </c>
      <c r="G948" t="s">
        <v>306</v>
      </c>
      <c r="H948">
        <v>39</v>
      </c>
      <c r="I948" t="s">
        <v>141</v>
      </c>
      <c r="J948">
        <v>1</v>
      </c>
      <c r="K948" s="4">
        <v>1490</v>
      </c>
      <c r="L948" s="4">
        <v>1490</v>
      </c>
    </row>
    <row r="949" spans="2:12" ht="12.75">
      <c r="B949" t="str">
        <f t="shared" si="46"/>
        <v>1763</v>
      </c>
      <c r="C949" t="s">
        <v>40</v>
      </c>
      <c r="D949">
        <v>402011</v>
      </c>
      <c r="E949" t="s">
        <v>54</v>
      </c>
      <c r="F949">
        <v>390002</v>
      </c>
      <c r="G949" t="s">
        <v>307</v>
      </c>
      <c r="H949">
        <v>39</v>
      </c>
      <c r="I949" t="s">
        <v>141</v>
      </c>
      <c r="J949">
        <v>1</v>
      </c>
      <c r="K949" s="4">
        <v>6490</v>
      </c>
      <c r="L949" s="4">
        <v>6490</v>
      </c>
    </row>
    <row r="950" spans="2:12" ht="12.75">
      <c r="B950" t="str">
        <f t="shared" si="46"/>
        <v>1763</v>
      </c>
      <c r="C950" t="s">
        <v>40</v>
      </c>
      <c r="D950">
        <v>402510</v>
      </c>
      <c r="E950" t="s">
        <v>12</v>
      </c>
      <c r="F950">
        <v>400022</v>
      </c>
      <c r="G950" t="s">
        <v>142</v>
      </c>
      <c r="H950">
        <v>40</v>
      </c>
      <c r="I950" t="s">
        <v>50</v>
      </c>
      <c r="J950">
        <v>1</v>
      </c>
      <c r="K950" s="4">
        <v>300</v>
      </c>
      <c r="L950" s="4">
        <v>300</v>
      </c>
    </row>
    <row r="951" spans="2:12" ht="12.75">
      <c r="B951" t="str">
        <f t="shared" si="46"/>
        <v>1763</v>
      </c>
      <c r="C951" t="s">
        <v>40</v>
      </c>
      <c r="D951">
        <v>402514</v>
      </c>
      <c r="E951" t="s">
        <v>45</v>
      </c>
      <c r="F951">
        <v>310001</v>
      </c>
      <c r="G951" t="s">
        <v>175</v>
      </c>
      <c r="H951">
        <v>31</v>
      </c>
      <c r="I951" t="s">
        <v>26</v>
      </c>
      <c r="J951">
        <v>1</v>
      </c>
      <c r="K951" s="4">
        <v>15500</v>
      </c>
      <c r="L951" s="4">
        <v>15500</v>
      </c>
    </row>
    <row r="952" spans="2:12" ht="12.75">
      <c r="B952" t="str">
        <f t="shared" si="46"/>
        <v>1763</v>
      </c>
      <c r="C952" t="s">
        <v>40</v>
      </c>
      <c r="D952">
        <v>402515</v>
      </c>
      <c r="E952" t="s">
        <v>15</v>
      </c>
      <c r="F952">
        <v>400001</v>
      </c>
      <c r="G952" t="s">
        <v>21</v>
      </c>
      <c r="H952">
        <v>40</v>
      </c>
      <c r="I952" t="s">
        <v>50</v>
      </c>
      <c r="J952">
        <v>1</v>
      </c>
      <c r="K952" s="4">
        <v>1800</v>
      </c>
      <c r="L952" s="4">
        <v>1800</v>
      </c>
    </row>
    <row r="953" spans="2:12" ht="12.75">
      <c r="B953" t="str">
        <f t="shared" si="46"/>
        <v>1763</v>
      </c>
      <c r="C953" t="s">
        <v>40</v>
      </c>
      <c r="D953">
        <v>402515</v>
      </c>
      <c r="E953" t="s">
        <v>15</v>
      </c>
      <c r="F953">
        <v>400002</v>
      </c>
      <c r="G953" t="s">
        <v>30</v>
      </c>
      <c r="H953">
        <v>40</v>
      </c>
      <c r="I953" t="s">
        <v>50</v>
      </c>
      <c r="J953">
        <v>1</v>
      </c>
      <c r="K953" s="4">
        <v>300</v>
      </c>
      <c r="L953" s="4">
        <v>300</v>
      </c>
    </row>
    <row r="954" spans="2:12" ht="12.75">
      <c r="B954" t="str">
        <f t="shared" si="46"/>
        <v>1763</v>
      </c>
      <c r="C954" t="s">
        <v>40</v>
      </c>
      <c r="D954">
        <v>402515</v>
      </c>
      <c r="E954" t="s">
        <v>15</v>
      </c>
      <c r="F954">
        <v>400004</v>
      </c>
      <c r="G954" t="s">
        <v>23</v>
      </c>
      <c r="H954">
        <v>40</v>
      </c>
      <c r="I954" t="s">
        <v>50</v>
      </c>
      <c r="J954">
        <v>1</v>
      </c>
      <c r="K954" s="4">
        <v>500</v>
      </c>
      <c r="L954" s="4">
        <v>500</v>
      </c>
    </row>
    <row r="955" spans="2:12" ht="12.75">
      <c r="B955" t="str">
        <f t="shared" si="46"/>
        <v>1763</v>
      </c>
      <c r="C955" t="s">
        <v>40</v>
      </c>
      <c r="D955">
        <v>402515</v>
      </c>
      <c r="E955" t="s">
        <v>15</v>
      </c>
      <c r="F955">
        <v>400006</v>
      </c>
      <c r="G955" t="s">
        <v>32</v>
      </c>
      <c r="H955">
        <v>40</v>
      </c>
      <c r="I955" t="s">
        <v>50</v>
      </c>
      <c r="J955">
        <v>1</v>
      </c>
      <c r="K955" s="4">
        <v>1900</v>
      </c>
      <c r="L955" s="4">
        <v>1900</v>
      </c>
    </row>
    <row r="956" spans="2:12" ht="12.75">
      <c r="B956" t="str">
        <f t="shared" si="46"/>
        <v>1763</v>
      </c>
      <c r="C956" t="s">
        <v>40</v>
      </c>
      <c r="D956">
        <v>402515</v>
      </c>
      <c r="E956" t="s">
        <v>15</v>
      </c>
      <c r="F956">
        <v>400007</v>
      </c>
      <c r="G956" t="s">
        <v>74</v>
      </c>
      <c r="H956">
        <v>40</v>
      </c>
      <c r="I956" t="s">
        <v>50</v>
      </c>
      <c r="J956">
        <v>1</v>
      </c>
      <c r="K956" s="4">
        <v>1800</v>
      </c>
      <c r="L956" s="4">
        <v>1800</v>
      </c>
    </row>
    <row r="957" spans="2:12" ht="12.75">
      <c r="B957" t="str">
        <f t="shared" si="46"/>
        <v>1763</v>
      </c>
      <c r="C957" t="s">
        <v>40</v>
      </c>
      <c r="D957">
        <v>402515</v>
      </c>
      <c r="E957" t="s">
        <v>15</v>
      </c>
      <c r="F957">
        <v>400012</v>
      </c>
      <c r="G957" t="s">
        <v>90</v>
      </c>
      <c r="H957">
        <v>40</v>
      </c>
      <c r="I957" t="s">
        <v>50</v>
      </c>
      <c r="J957">
        <v>1</v>
      </c>
      <c r="K957" s="4">
        <v>1500</v>
      </c>
      <c r="L957" s="4">
        <v>1500</v>
      </c>
    </row>
    <row r="958" spans="2:12" ht="12.75">
      <c r="B958" t="str">
        <f t="shared" si="46"/>
        <v>1763</v>
      </c>
      <c r="C958" t="s">
        <v>40</v>
      </c>
      <c r="D958">
        <v>402941</v>
      </c>
      <c r="E958" t="s">
        <v>98</v>
      </c>
      <c r="F958">
        <v>440001</v>
      </c>
      <c r="G958" t="s">
        <v>192</v>
      </c>
      <c r="H958">
        <v>44</v>
      </c>
      <c r="I958" t="s">
        <v>99</v>
      </c>
      <c r="J958">
        <v>1</v>
      </c>
      <c r="K958" s="4">
        <v>2700</v>
      </c>
      <c r="L958" s="4">
        <v>2700</v>
      </c>
    </row>
    <row r="959" spans="2:12" ht="12.75">
      <c r="B959" t="str">
        <f t="shared" si="46"/>
        <v>1763</v>
      </c>
      <c r="C959" t="s">
        <v>40</v>
      </c>
      <c r="D959">
        <v>402941</v>
      </c>
      <c r="E959" t="s">
        <v>98</v>
      </c>
      <c r="F959">
        <v>440002</v>
      </c>
      <c r="G959" t="s">
        <v>155</v>
      </c>
      <c r="H959">
        <v>44</v>
      </c>
      <c r="I959" t="s">
        <v>99</v>
      </c>
      <c r="J959">
        <v>1</v>
      </c>
      <c r="K959" s="4">
        <v>6500</v>
      </c>
      <c r="L959" s="4">
        <v>6500</v>
      </c>
    </row>
    <row r="960" spans="1:2" ht="12.75">
      <c r="A960" t="s">
        <v>47</v>
      </c>
      <c r="B960">
        <f>SUM(L932:L959)</f>
        <v>167640</v>
      </c>
    </row>
    <row r="962" ht="12.75">
      <c r="A962" t="str">
        <f>"2126 - Urad RS za intelektualno lastnino, verzija: 1"</f>
        <v>2126 - Urad RS za intelektualno lastnino, verzija: 1</v>
      </c>
    </row>
    <row r="963" spans="2:13" ht="12.75">
      <c r="B963" t="s">
        <v>3</v>
      </c>
      <c r="D963" t="s">
        <v>4</v>
      </c>
      <c r="F963" t="s">
        <v>5</v>
      </c>
      <c r="H963" t="s">
        <v>6</v>
      </c>
      <c r="J963" t="s">
        <v>7</v>
      </c>
      <c r="K963" s="4" t="s">
        <v>8</v>
      </c>
      <c r="L963" s="4" t="s">
        <v>9</v>
      </c>
      <c r="M963" t="s">
        <v>10</v>
      </c>
    </row>
    <row r="964" spans="2:12" ht="12.75">
      <c r="B964" t="str">
        <f aca="true" t="shared" si="47" ref="B964:B979">"1970"</f>
        <v>1970</v>
      </c>
      <c r="C964" t="s">
        <v>308</v>
      </c>
      <c r="D964">
        <v>402011</v>
      </c>
      <c r="E964" t="s">
        <v>54</v>
      </c>
      <c r="F964">
        <v>370001</v>
      </c>
      <c r="G964" t="s">
        <v>133</v>
      </c>
      <c r="H964">
        <v>37</v>
      </c>
      <c r="I964" t="s">
        <v>134</v>
      </c>
      <c r="J964">
        <v>1</v>
      </c>
      <c r="K964" s="4">
        <v>13000</v>
      </c>
      <c r="L964" s="4">
        <v>13000</v>
      </c>
    </row>
    <row r="965" spans="2:12" ht="12.75">
      <c r="B965" t="str">
        <f t="shared" si="47"/>
        <v>1970</v>
      </c>
      <c r="C965" t="s">
        <v>308</v>
      </c>
      <c r="D965">
        <v>402510</v>
      </c>
      <c r="E965" t="s">
        <v>12</v>
      </c>
      <c r="F965">
        <v>350004</v>
      </c>
      <c r="G965" t="s">
        <v>188</v>
      </c>
      <c r="H965">
        <v>35</v>
      </c>
      <c r="I965" t="s">
        <v>17</v>
      </c>
      <c r="J965">
        <v>1</v>
      </c>
      <c r="K965" s="4">
        <v>24000</v>
      </c>
      <c r="L965" s="4">
        <v>24000</v>
      </c>
    </row>
    <row r="966" spans="2:12" ht="12.75">
      <c r="B966" t="str">
        <f t="shared" si="47"/>
        <v>1970</v>
      </c>
      <c r="C966" t="s">
        <v>308</v>
      </c>
      <c r="D966">
        <v>402514</v>
      </c>
      <c r="E966" t="s">
        <v>45</v>
      </c>
      <c r="F966">
        <v>310007</v>
      </c>
      <c r="G966" t="s">
        <v>82</v>
      </c>
      <c r="H966">
        <v>31</v>
      </c>
      <c r="I966" t="s">
        <v>26</v>
      </c>
      <c r="J966">
        <v>1</v>
      </c>
      <c r="K966" s="4">
        <v>8767</v>
      </c>
      <c r="L966" s="4">
        <v>8767</v>
      </c>
    </row>
    <row r="967" spans="2:12" ht="12.75">
      <c r="B967" t="str">
        <f t="shared" si="47"/>
        <v>1970</v>
      </c>
      <c r="C967" t="s">
        <v>308</v>
      </c>
      <c r="D967">
        <v>402515</v>
      </c>
      <c r="E967" t="s">
        <v>15</v>
      </c>
      <c r="F967">
        <v>400012</v>
      </c>
      <c r="G967" t="s">
        <v>90</v>
      </c>
      <c r="H967">
        <v>40</v>
      </c>
      <c r="I967" t="s">
        <v>50</v>
      </c>
      <c r="J967">
        <v>1</v>
      </c>
      <c r="K967" s="4">
        <v>24000</v>
      </c>
      <c r="L967" s="4">
        <v>24000</v>
      </c>
    </row>
    <row r="968" spans="2:12" ht="12.75">
      <c r="B968" t="str">
        <f t="shared" si="47"/>
        <v>1970</v>
      </c>
      <c r="C968" t="s">
        <v>308</v>
      </c>
      <c r="D968">
        <v>420202</v>
      </c>
      <c r="E968" t="s">
        <v>19</v>
      </c>
      <c r="F968">
        <v>10002</v>
      </c>
      <c r="G968" t="s">
        <v>20</v>
      </c>
      <c r="H968">
        <v>1</v>
      </c>
      <c r="I968" t="s">
        <v>21</v>
      </c>
      <c r="J968">
        <v>7</v>
      </c>
      <c r="K968" s="4">
        <v>800</v>
      </c>
      <c r="L968" s="4">
        <v>5600</v>
      </c>
    </row>
    <row r="969" spans="2:12" ht="12.75">
      <c r="B969" t="str">
        <f t="shared" si="47"/>
        <v>1970</v>
      </c>
      <c r="C969" t="s">
        <v>308</v>
      </c>
      <c r="D969">
        <v>420202</v>
      </c>
      <c r="E969" t="s">
        <v>19</v>
      </c>
      <c r="F969">
        <v>40003</v>
      </c>
      <c r="G969" t="s">
        <v>72</v>
      </c>
      <c r="H969">
        <v>4</v>
      </c>
      <c r="I969" t="s">
        <v>23</v>
      </c>
      <c r="J969">
        <v>7</v>
      </c>
      <c r="K969" s="4">
        <v>500</v>
      </c>
      <c r="L969" s="4">
        <v>3500</v>
      </c>
    </row>
    <row r="970" spans="2:12" ht="12.75">
      <c r="B970" t="str">
        <f t="shared" si="47"/>
        <v>1970</v>
      </c>
      <c r="C970" t="s">
        <v>308</v>
      </c>
      <c r="D970">
        <v>420202</v>
      </c>
      <c r="E970" t="s">
        <v>19</v>
      </c>
      <c r="F970">
        <v>60002</v>
      </c>
      <c r="G970" t="s">
        <v>31</v>
      </c>
      <c r="H970">
        <v>6</v>
      </c>
      <c r="I970" t="s">
        <v>32</v>
      </c>
      <c r="J970">
        <v>3</v>
      </c>
      <c r="K970" s="4">
        <v>3000</v>
      </c>
      <c r="L970" s="4">
        <v>9000</v>
      </c>
    </row>
    <row r="971" spans="2:12" ht="12.75">
      <c r="B971" t="str">
        <f t="shared" si="47"/>
        <v>1970</v>
      </c>
      <c r="C971" t="s">
        <v>308</v>
      </c>
      <c r="D971">
        <v>420202</v>
      </c>
      <c r="E971" t="s">
        <v>19</v>
      </c>
      <c r="F971">
        <v>70002</v>
      </c>
      <c r="G971" t="s">
        <v>113</v>
      </c>
      <c r="H971">
        <v>7</v>
      </c>
      <c r="I971" t="s">
        <v>74</v>
      </c>
      <c r="J971">
        <v>4</v>
      </c>
      <c r="K971" s="4">
        <v>3500</v>
      </c>
      <c r="L971" s="4">
        <v>14000</v>
      </c>
    </row>
    <row r="972" spans="2:12" ht="12.75">
      <c r="B972" t="str">
        <f t="shared" si="47"/>
        <v>1970</v>
      </c>
      <c r="C972" t="s">
        <v>308</v>
      </c>
      <c r="D972">
        <v>420202</v>
      </c>
      <c r="E972" t="s">
        <v>19</v>
      </c>
      <c r="F972">
        <v>100008</v>
      </c>
      <c r="G972" t="s">
        <v>296</v>
      </c>
      <c r="H972">
        <v>10</v>
      </c>
      <c r="I972" t="s">
        <v>35</v>
      </c>
      <c r="J972">
        <v>1</v>
      </c>
      <c r="K972" s="4">
        <v>5500</v>
      </c>
      <c r="L972" s="4">
        <v>5500</v>
      </c>
    </row>
    <row r="973" spans="2:12" ht="12.75">
      <c r="B973" t="str">
        <f t="shared" si="47"/>
        <v>1970</v>
      </c>
      <c r="C973" t="s">
        <v>308</v>
      </c>
      <c r="D973">
        <v>420202</v>
      </c>
      <c r="E973" t="s">
        <v>19</v>
      </c>
      <c r="F973">
        <v>230001</v>
      </c>
      <c r="G973" t="s">
        <v>236</v>
      </c>
      <c r="H973">
        <v>23</v>
      </c>
      <c r="I973" t="s">
        <v>143</v>
      </c>
      <c r="J973">
        <v>1</v>
      </c>
      <c r="K973" s="4">
        <v>5000</v>
      </c>
      <c r="L973" s="4">
        <v>5000</v>
      </c>
    </row>
    <row r="974" spans="2:12" ht="12.75">
      <c r="B974" t="str">
        <f t="shared" si="47"/>
        <v>1970</v>
      </c>
      <c r="C974" t="s">
        <v>308</v>
      </c>
      <c r="D974">
        <v>420202</v>
      </c>
      <c r="E974" t="s">
        <v>19</v>
      </c>
      <c r="F974">
        <v>250012</v>
      </c>
      <c r="G974" t="s">
        <v>119</v>
      </c>
      <c r="H974">
        <v>25</v>
      </c>
      <c r="I974" t="s">
        <v>120</v>
      </c>
      <c r="J974">
        <v>1</v>
      </c>
      <c r="K974" s="4">
        <v>2400</v>
      </c>
      <c r="L974" s="4">
        <v>2400</v>
      </c>
    </row>
    <row r="975" spans="2:12" ht="12.75">
      <c r="B975" t="str">
        <f t="shared" si="47"/>
        <v>1970</v>
      </c>
      <c r="C975" t="s">
        <v>308</v>
      </c>
      <c r="D975">
        <v>420222</v>
      </c>
      <c r="E975" t="s">
        <v>60</v>
      </c>
      <c r="F975">
        <v>230001</v>
      </c>
      <c r="G975" t="s">
        <v>236</v>
      </c>
      <c r="H975">
        <v>23</v>
      </c>
      <c r="I975" t="s">
        <v>143</v>
      </c>
      <c r="J975">
        <v>2</v>
      </c>
      <c r="K975" s="4">
        <v>10000</v>
      </c>
      <c r="L975" s="4">
        <v>20000</v>
      </c>
    </row>
    <row r="976" spans="2:12" ht="12.75">
      <c r="B976" t="str">
        <f t="shared" si="47"/>
        <v>1970</v>
      </c>
      <c r="C976" t="s">
        <v>308</v>
      </c>
      <c r="D976">
        <v>420222</v>
      </c>
      <c r="E976" t="s">
        <v>60</v>
      </c>
      <c r="F976">
        <v>240007</v>
      </c>
      <c r="G976" t="s">
        <v>303</v>
      </c>
      <c r="H976">
        <v>24</v>
      </c>
      <c r="I976" t="s">
        <v>118</v>
      </c>
      <c r="J976">
        <v>1</v>
      </c>
      <c r="K976" s="4">
        <v>5000</v>
      </c>
      <c r="L976" s="4">
        <v>5000</v>
      </c>
    </row>
    <row r="977" spans="2:12" ht="12.75">
      <c r="B977" t="str">
        <f t="shared" si="47"/>
        <v>1970</v>
      </c>
      <c r="C977" t="s">
        <v>308</v>
      </c>
      <c r="D977">
        <v>420248</v>
      </c>
      <c r="E977" t="s">
        <v>36</v>
      </c>
      <c r="F977">
        <v>120003</v>
      </c>
      <c r="G977" t="s">
        <v>37</v>
      </c>
      <c r="H977">
        <v>12</v>
      </c>
      <c r="I977" t="s">
        <v>38</v>
      </c>
      <c r="J977">
        <v>1</v>
      </c>
      <c r="K977" s="4">
        <v>5458</v>
      </c>
      <c r="L977" s="4">
        <v>5458</v>
      </c>
    </row>
    <row r="978" spans="2:12" ht="12.75">
      <c r="B978" t="str">
        <f t="shared" si="47"/>
        <v>1970</v>
      </c>
      <c r="C978" t="s">
        <v>308</v>
      </c>
      <c r="D978">
        <v>420249</v>
      </c>
      <c r="E978" t="s">
        <v>39</v>
      </c>
      <c r="F978">
        <v>60002</v>
      </c>
      <c r="G978" t="s">
        <v>31</v>
      </c>
      <c r="H978">
        <v>6</v>
      </c>
      <c r="I978" t="s">
        <v>32</v>
      </c>
      <c r="J978">
        <v>2</v>
      </c>
      <c r="K978" s="4">
        <v>1500</v>
      </c>
      <c r="L978" s="4">
        <v>3000</v>
      </c>
    </row>
    <row r="979" spans="2:12" ht="12.75">
      <c r="B979" t="str">
        <f t="shared" si="47"/>
        <v>1970</v>
      </c>
      <c r="C979" t="s">
        <v>308</v>
      </c>
      <c r="D979">
        <v>420704</v>
      </c>
      <c r="E979" t="s">
        <v>24</v>
      </c>
      <c r="F979">
        <v>310007</v>
      </c>
      <c r="G979" t="s">
        <v>82</v>
      </c>
      <c r="H979">
        <v>31</v>
      </c>
      <c r="I979" t="s">
        <v>26</v>
      </c>
      <c r="J979">
        <v>1</v>
      </c>
      <c r="K979" s="4">
        <v>78653</v>
      </c>
      <c r="L979" s="4">
        <v>78653</v>
      </c>
    </row>
    <row r="980" spans="1:2" ht="12.75">
      <c r="A980" t="s">
        <v>47</v>
      </c>
      <c r="B980">
        <f>SUM(L964:L979)</f>
        <v>226878</v>
      </c>
    </row>
    <row r="982" ht="12.75">
      <c r="A982" t="str">
        <f>"2127 - Inšpektorat RS za elektronske komunikacije, elektronsko podpisovanje in pošto, verzija: 1"</f>
        <v>2127 - Inšpektorat RS za elektronske komunikacije, elektronsko podpisovanje in pošto, verzija: 1</v>
      </c>
    </row>
    <row r="983" spans="2:13" ht="12.75">
      <c r="B983" t="s">
        <v>3</v>
      </c>
      <c r="D983" t="s">
        <v>4</v>
      </c>
      <c r="F983" t="s">
        <v>5</v>
      </c>
      <c r="H983" t="s">
        <v>6</v>
      </c>
      <c r="J983" t="s">
        <v>7</v>
      </c>
      <c r="K983" s="4" t="s">
        <v>8</v>
      </c>
      <c r="L983" s="4" t="s">
        <v>9</v>
      </c>
      <c r="M983" t="s">
        <v>10</v>
      </c>
    </row>
    <row r="984" spans="2:12" ht="12.75">
      <c r="B984" t="str">
        <f>"5517"</f>
        <v>5517</v>
      </c>
      <c r="C984" t="s">
        <v>27</v>
      </c>
      <c r="D984">
        <v>420202</v>
      </c>
      <c r="E984" t="s">
        <v>19</v>
      </c>
      <c r="F984">
        <v>10003</v>
      </c>
      <c r="G984" t="s">
        <v>28</v>
      </c>
      <c r="H984">
        <v>1</v>
      </c>
      <c r="I984" t="s">
        <v>21</v>
      </c>
      <c r="J984">
        <v>1</v>
      </c>
      <c r="K984" s="4">
        <v>835</v>
      </c>
      <c r="L984" s="4">
        <v>835</v>
      </c>
    </row>
    <row r="985" spans="2:12" ht="12.75">
      <c r="B985" t="str">
        <f>"5517"</f>
        <v>5517</v>
      </c>
      <c r="C985" t="s">
        <v>27</v>
      </c>
      <c r="D985">
        <v>420202</v>
      </c>
      <c r="E985" t="s">
        <v>19</v>
      </c>
      <c r="F985">
        <v>20001</v>
      </c>
      <c r="G985" t="s">
        <v>29</v>
      </c>
      <c r="H985">
        <v>2</v>
      </c>
      <c r="I985" t="s">
        <v>30</v>
      </c>
      <c r="J985">
        <v>1</v>
      </c>
      <c r="K985" s="4">
        <v>1000</v>
      </c>
      <c r="L985" s="4">
        <v>1000</v>
      </c>
    </row>
    <row r="986" spans="2:12" ht="12.75">
      <c r="B986" t="str">
        <f>"5517"</f>
        <v>5517</v>
      </c>
      <c r="C986" t="s">
        <v>27</v>
      </c>
      <c r="D986">
        <v>420202</v>
      </c>
      <c r="E986" t="s">
        <v>19</v>
      </c>
      <c r="F986">
        <v>60002</v>
      </c>
      <c r="G986" t="s">
        <v>31</v>
      </c>
      <c r="H986">
        <v>6</v>
      </c>
      <c r="I986" t="s">
        <v>32</v>
      </c>
      <c r="J986">
        <v>1</v>
      </c>
      <c r="K986" s="4">
        <v>800</v>
      </c>
      <c r="L986" s="4">
        <v>800</v>
      </c>
    </row>
    <row r="987" spans="2:13" ht="12.75">
      <c r="B987" t="str">
        <f>"5517"</f>
        <v>5517</v>
      </c>
      <c r="C987" t="s">
        <v>27</v>
      </c>
      <c r="D987">
        <v>420238</v>
      </c>
      <c r="E987" t="s">
        <v>34</v>
      </c>
      <c r="F987">
        <v>100016</v>
      </c>
      <c r="G987" t="s">
        <v>25</v>
      </c>
      <c r="H987">
        <v>10</v>
      </c>
      <c r="I987" t="s">
        <v>35</v>
      </c>
      <c r="J987">
        <v>1</v>
      </c>
      <c r="K987" s="4">
        <v>400</v>
      </c>
      <c r="L987" s="4">
        <v>400</v>
      </c>
      <c r="M987" t="s">
        <v>309</v>
      </c>
    </row>
    <row r="988" spans="2:13" ht="12.75">
      <c r="B988" t="str">
        <f>"5517"</f>
        <v>5517</v>
      </c>
      <c r="C988" t="s">
        <v>27</v>
      </c>
      <c r="D988">
        <v>420238</v>
      </c>
      <c r="E988" t="s">
        <v>34</v>
      </c>
      <c r="F988">
        <v>100016</v>
      </c>
      <c r="G988" t="s">
        <v>25</v>
      </c>
      <c r="H988">
        <v>10</v>
      </c>
      <c r="I988" t="s">
        <v>35</v>
      </c>
      <c r="J988">
        <v>2</v>
      </c>
      <c r="K988" s="4">
        <v>200</v>
      </c>
      <c r="L988" s="4">
        <v>400</v>
      </c>
      <c r="M988" t="s">
        <v>310</v>
      </c>
    </row>
    <row r="989" spans="1:2" ht="12.75">
      <c r="A989" t="s">
        <v>47</v>
      </c>
      <c r="B989">
        <f>SUM(L984:L988)</f>
        <v>3435</v>
      </c>
    </row>
    <row r="991" ht="12.75">
      <c r="A991" t="str">
        <f>"2128 - Inšpektorat Republike Slovenije za energetiko in rudarstvo, verzija: 2"</f>
        <v>2128 - Inšpektorat Republike Slovenije za energetiko in rudarstvo, verzija: 2</v>
      </c>
    </row>
    <row r="992" spans="2:13" ht="12.75">
      <c r="B992" t="s">
        <v>3</v>
      </c>
      <c r="D992" t="s">
        <v>4</v>
      </c>
      <c r="F992" t="s">
        <v>5</v>
      </c>
      <c r="H992" t="s">
        <v>6</v>
      </c>
      <c r="J992" t="s">
        <v>7</v>
      </c>
      <c r="K992" s="4" t="s">
        <v>8</v>
      </c>
      <c r="L992" s="4" t="s">
        <v>9</v>
      </c>
      <c r="M992" t="s">
        <v>10</v>
      </c>
    </row>
    <row r="993" spans="2:13" ht="12.75">
      <c r="B993" t="str">
        <f>"5520"</f>
        <v>5520</v>
      </c>
      <c r="C993" t="s">
        <v>27</v>
      </c>
      <c r="D993">
        <v>420704</v>
      </c>
      <c r="E993" t="s">
        <v>24</v>
      </c>
      <c r="F993">
        <v>300001</v>
      </c>
      <c r="G993" t="s">
        <v>25</v>
      </c>
      <c r="H993">
        <v>30</v>
      </c>
      <c r="I993" t="s">
        <v>94</v>
      </c>
      <c r="J993">
        <v>1</v>
      </c>
      <c r="K993" s="4">
        <v>20700</v>
      </c>
      <c r="L993" s="4">
        <v>20700</v>
      </c>
      <c r="M993" t="s">
        <v>311</v>
      </c>
    </row>
    <row r="994" spans="1:2" ht="12.75">
      <c r="A994" t="s">
        <v>47</v>
      </c>
      <c r="B994">
        <f>SUM(L993:L993)</f>
        <v>20700</v>
      </c>
    </row>
    <row r="996" ht="12.75">
      <c r="A996" t="str">
        <f>"2311 - Ministrstvo za kmetijstvo, gozdarstvo in prehrano, verzija: 2"</f>
        <v>2311 - Ministrstvo za kmetijstvo, gozdarstvo in prehrano, verzija: 2</v>
      </c>
    </row>
    <row r="997" spans="2:13" ht="12.75">
      <c r="B997" t="s">
        <v>3</v>
      </c>
      <c r="D997" t="s">
        <v>4</v>
      </c>
      <c r="F997" t="s">
        <v>5</v>
      </c>
      <c r="H997" t="s">
        <v>6</v>
      </c>
      <c r="J997" t="s">
        <v>7</v>
      </c>
      <c r="K997" s="4" t="s">
        <v>8</v>
      </c>
      <c r="L997" s="4" t="s">
        <v>9</v>
      </c>
      <c r="M997" t="s">
        <v>10</v>
      </c>
    </row>
    <row r="998" spans="2:12" ht="12.75">
      <c r="B998" t="str">
        <f>"1328"</f>
        <v>1328</v>
      </c>
      <c r="C998" t="s">
        <v>312</v>
      </c>
      <c r="D998">
        <v>402514</v>
      </c>
      <c r="E998" t="s">
        <v>45</v>
      </c>
      <c r="F998">
        <v>410003</v>
      </c>
      <c r="G998" t="s">
        <v>125</v>
      </c>
      <c r="H998">
        <v>41</v>
      </c>
      <c r="I998" t="s">
        <v>14</v>
      </c>
      <c r="J998">
        <v>1</v>
      </c>
      <c r="K998" s="4">
        <v>146052</v>
      </c>
      <c r="L998" s="4">
        <v>146052</v>
      </c>
    </row>
    <row r="999" spans="2:13" ht="12.75">
      <c r="B999" t="str">
        <f>"1494"</f>
        <v>1494</v>
      </c>
      <c r="C999" t="s">
        <v>313</v>
      </c>
      <c r="D999">
        <v>402007</v>
      </c>
      <c r="E999" t="s">
        <v>41</v>
      </c>
      <c r="F999">
        <v>210005</v>
      </c>
      <c r="G999" t="s">
        <v>25</v>
      </c>
      <c r="H999">
        <v>21</v>
      </c>
      <c r="I999" t="s">
        <v>200</v>
      </c>
      <c r="J999">
        <v>1</v>
      </c>
      <c r="K999" s="4">
        <v>100150</v>
      </c>
      <c r="L999" s="4">
        <v>100150</v>
      </c>
      <c r="M999" t="s">
        <v>314</v>
      </c>
    </row>
    <row r="1000" spans="2:13" ht="12.75">
      <c r="B1000" t="str">
        <f>"5548"</f>
        <v>5548</v>
      </c>
      <c r="C1000" t="s">
        <v>27</v>
      </c>
      <c r="D1000">
        <v>420238</v>
      </c>
      <c r="E1000" t="s">
        <v>34</v>
      </c>
      <c r="F1000">
        <v>260006</v>
      </c>
      <c r="G1000" t="s">
        <v>315</v>
      </c>
      <c r="H1000">
        <v>26</v>
      </c>
      <c r="I1000" t="s">
        <v>69</v>
      </c>
      <c r="J1000">
        <v>1</v>
      </c>
      <c r="K1000" s="4">
        <v>12894</v>
      </c>
      <c r="L1000" s="4">
        <v>12894</v>
      </c>
      <c r="M1000" t="s">
        <v>316</v>
      </c>
    </row>
    <row r="1001" spans="2:13" ht="12.75">
      <c r="B1001" t="str">
        <f aca="true" t="shared" si="48" ref="B1001:B1018">"5807"</f>
        <v>5807</v>
      </c>
      <c r="C1001" t="s">
        <v>317</v>
      </c>
      <c r="D1001">
        <v>402510</v>
      </c>
      <c r="E1001" t="s">
        <v>12</v>
      </c>
      <c r="F1001">
        <v>120007</v>
      </c>
      <c r="G1001" t="s">
        <v>25</v>
      </c>
      <c r="H1001">
        <v>12</v>
      </c>
      <c r="I1001" t="s">
        <v>38</v>
      </c>
      <c r="J1001">
        <v>1</v>
      </c>
      <c r="K1001" s="4">
        <v>33383</v>
      </c>
      <c r="L1001" s="4">
        <v>33383</v>
      </c>
      <c r="M1001" t="s">
        <v>318</v>
      </c>
    </row>
    <row r="1002" spans="2:12" ht="12.75">
      <c r="B1002" t="str">
        <f t="shared" si="48"/>
        <v>5807</v>
      </c>
      <c r="C1002" t="s">
        <v>317</v>
      </c>
      <c r="D1002">
        <v>402514</v>
      </c>
      <c r="E1002" t="s">
        <v>45</v>
      </c>
      <c r="F1002">
        <v>260001</v>
      </c>
      <c r="G1002" t="s">
        <v>147</v>
      </c>
      <c r="H1002">
        <v>26</v>
      </c>
      <c r="I1002" t="s">
        <v>69</v>
      </c>
      <c r="J1002">
        <v>1</v>
      </c>
      <c r="K1002" s="4">
        <v>25038</v>
      </c>
      <c r="L1002" s="4">
        <v>25038</v>
      </c>
    </row>
    <row r="1003" spans="2:12" ht="12.75">
      <c r="B1003" t="str">
        <f t="shared" si="48"/>
        <v>5807</v>
      </c>
      <c r="C1003" t="s">
        <v>317</v>
      </c>
      <c r="D1003">
        <v>402514</v>
      </c>
      <c r="E1003" t="s">
        <v>45</v>
      </c>
      <c r="F1003">
        <v>410003</v>
      </c>
      <c r="G1003" t="s">
        <v>125</v>
      </c>
      <c r="H1003">
        <v>41</v>
      </c>
      <c r="I1003" t="s">
        <v>14</v>
      </c>
      <c r="J1003">
        <v>1</v>
      </c>
      <c r="K1003" s="4">
        <v>338007</v>
      </c>
      <c r="L1003" s="4">
        <v>338007</v>
      </c>
    </row>
    <row r="1004" spans="2:13" ht="12.75">
      <c r="B1004" t="str">
        <f t="shared" si="48"/>
        <v>5807</v>
      </c>
      <c r="C1004" t="s">
        <v>317</v>
      </c>
      <c r="D1004">
        <v>402515</v>
      </c>
      <c r="E1004" t="s">
        <v>15</v>
      </c>
      <c r="F1004">
        <v>400024</v>
      </c>
      <c r="G1004" t="s">
        <v>25</v>
      </c>
      <c r="H1004">
        <v>40</v>
      </c>
      <c r="I1004" t="s">
        <v>50</v>
      </c>
      <c r="J1004">
        <v>1</v>
      </c>
      <c r="K1004" s="4">
        <v>50075</v>
      </c>
      <c r="L1004" s="4">
        <v>50075</v>
      </c>
      <c r="M1004" t="s">
        <v>319</v>
      </c>
    </row>
    <row r="1005" spans="2:13" ht="12.75">
      <c r="B1005" t="str">
        <f t="shared" si="48"/>
        <v>5807</v>
      </c>
      <c r="C1005" t="s">
        <v>317</v>
      </c>
      <c r="D1005">
        <v>402516</v>
      </c>
      <c r="E1005" t="s">
        <v>109</v>
      </c>
      <c r="F1005">
        <v>350011</v>
      </c>
      <c r="G1005" t="s">
        <v>25</v>
      </c>
      <c r="H1005">
        <v>35</v>
      </c>
      <c r="I1005" t="s">
        <v>17</v>
      </c>
      <c r="J1005">
        <v>1</v>
      </c>
      <c r="K1005" s="4">
        <v>8346</v>
      </c>
      <c r="L1005" s="4">
        <v>8346</v>
      </c>
      <c r="M1005" t="s">
        <v>320</v>
      </c>
    </row>
    <row r="1006" spans="2:12" ht="12.75">
      <c r="B1006" t="str">
        <f t="shared" si="48"/>
        <v>5807</v>
      </c>
      <c r="C1006" t="s">
        <v>317</v>
      </c>
      <c r="D1006">
        <v>420202</v>
      </c>
      <c r="E1006" t="s">
        <v>19</v>
      </c>
      <c r="F1006">
        <v>10002</v>
      </c>
      <c r="G1006" t="s">
        <v>20</v>
      </c>
      <c r="H1006">
        <v>1</v>
      </c>
      <c r="I1006" t="s">
        <v>21</v>
      </c>
      <c r="J1006">
        <v>37</v>
      </c>
      <c r="K1006" s="4">
        <v>626</v>
      </c>
      <c r="L1006" s="4">
        <v>23162</v>
      </c>
    </row>
    <row r="1007" spans="2:12" ht="12.75">
      <c r="B1007" t="str">
        <f t="shared" si="48"/>
        <v>5807</v>
      </c>
      <c r="C1007" t="s">
        <v>317</v>
      </c>
      <c r="D1007">
        <v>420202</v>
      </c>
      <c r="E1007" t="s">
        <v>19</v>
      </c>
      <c r="F1007">
        <v>20001</v>
      </c>
      <c r="G1007" t="s">
        <v>29</v>
      </c>
      <c r="H1007">
        <v>2</v>
      </c>
      <c r="I1007" t="s">
        <v>30</v>
      </c>
      <c r="J1007">
        <v>7</v>
      </c>
      <c r="K1007" s="4">
        <v>1600</v>
      </c>
      <c r="L1007" s="4">
        <v>11200</v>
      </c>
    </row>
    <row r="1008" spans="2:12" ht="12.75">
      <c r="B1008" t="str">
        <f t="shared" si="48"/>
        <v>5807</v>
      </c>
      <c r="C1008" t="s">
        <v>317</v>
      </c>
      <c r="D1008">
        <v>420202</v>
      </c>
      <c r="E1008" t="s">
        <v>19</v>
      </c>
      <c r="F1008">
        <v>20002</v>
      </c>
      <c r="G1008" t="s">
        <v>58</v>
      </c>
      <c r="H1008">
        <v>2</v>
      </c>
      <c r="I1008" t="s">
        <v>30</v>
      </c>
      <c r="J1008">
        <v>5</v>
      </c>
      <c r="K1008" s="4">
        <v>2100</v>
      </c>
      <c r="L1008" s="4">
        <v>10500</v>
      </c>
    </row>
    <row r="1009" spans="2:12" ht="12.75">
      <c r="B1009" t="str">
        <f t="shared" si="48"/>
        <v>5807</v>
      </c>
      <c r="C1009" t="s">
        <v>317</v>
      </c>
      <c r="D1009">
        <v>420202</v>
      </c>
      <c r="E1009" t="s">
        <v>19</v>
      </c>
      <c r="F1009">
        <v>40001</v>
      </c>
      <c r="G1009" t="s">
        <v>59</v>
      </c>
      <c r="H1009">
        <v>4</v>
      </c>
      <c r="I1009" t="s">
        <v>23</v>
      </c>
      <c r="J1009">
        <v>34</v>
      </c>
      <c r="K1009" s="4">
        <v>250</v>
      </c>
      <c r="L1009" s="4">
        <v>8500</v>
      </c>
    </row>
    <row r="1010" spans="2:12" ht="12.75">
      <c r="B1010" t="str">
        <f t="shared" si="48"/>
        <v>5807</v>
      </c>
      <c r="C1010" t="s">
        <v>317</v>
      </c>
      <c r="D1010">
        <v>420202</v>
      </c>
      <c r="E1010" t="s">
        <v>19</v>
      </c>
      <c r="F1010">
        <v>60002</v>
      </c>
      <c r="G1010" t="s">
        <v>31</v>
      </c>
      <c r="H1010">
        <v>6</v>
      </c>
      <c r="I1010" t="s">
        <v>32</v>
      </c>
      <c r="J1010">
        <v>2</v>
      </c>
      <c r="K1010" s="4">
        <v>300</v>
      </c>
      <c r="L1010" s="4">
        <v>600</v>
      </c>
    </row>
    <row r="1011" spans="2:13" ht="12.75">
      <c r="B1011" t="str">
        <f t="shared" si="48"/>
        <v>5807</v>
      </c>
      <c r="C1011" t="s">
        <v>317</v>
      </c>
      <c r="D1011">
        <v>420202</v>
      </c>
      <c r="E1011" t="s">
        <v>19</v>
      </c>
      <c r="F1011">
        <v>60005</v>
      </c>
      <c r="G1011" t="s">
        <v>25</v>
      </c>
      <c r="H1011">
        <v>6</v>
      </c>
      <c r="I1011" t="s">
        <v>32</v>
      </c>
      <c r="J1011">
        <v>4</v>
      </c>
      <c r="K1011" s="4">
        <v>4173</v>
      </c>
      <c r="L1011" s="4">
        <v>16692</v>
      </c>
      <c r="M1011" t="s">
        <v>321</v>
      </c>
    </row>
    <row r="1012" spans="2:13" ht="12.75">
      <c r="B1012" t="str">
        <f t="shared" si="48"/>
        <v>5807</v>
      </c>
      <c r="C1012" t="s">
        <v>317</v>
      </c>
      <c r="D1012">
        <v>420202</v>
      </c>
      <c r="E1012" t="s">
        <v>19</v>
      </c>
      <c r="F1012">
        <v>300001</v>
      </c>
      <c r="G1012" t="s">
        <v>25</v>
      </c>
      <c r="H1012">
        <v>30</v>
      </c>
      <c r="I1012" t="s">
        <v>94</v>
      </c>
      <c r="J1012">
        <v>1</v>
      </c>
      <c r="K1012" s="4">
        <v>248</v>
      </c>
      <c r="L1012" s="4">
        <v>248</v>
      </c>
      <c r="M1012" t="s">
        <v>322</v>
      </c>
    </row>
    <row r="1013" spans="2:12" ht="12.75">
      <c r="B1013" t="str">
        <f t="shared" si="48"/>
        <v>5807</v>
      </c>
      <c r="C1013" t="s">
        <v>317</v>
      </c>
      <c r="D1013">
        <v>420222</v>
      </c>
      <c r="E1013" t="s">
        <v>60</v>
      </c>
      <c r="F1013">
        <v>230001</v>
      </c>
      <c r="G1013" t="s">
        <v>236</v>
      </c>
      <c r="H1013">
        <v>23</v>
      </c>
      <c r="I1013" t="s">
        <v>143</v>
      </c>
      <c r="J1013">
        <v>2</v>
      </c>
      <c r="K1013" s="4">
        <v>14700</v>
      </c>
      <c r="L1013" s="4">
        <v>29400</v>
      </c>
    </row>
    <row r="1014" spans="2:12" ht="12.75">
      <c r="B1014" t="str">
        <f t="shared" si="48"/>
        <v>5807</v>
      </c>
      <c r="C1014" t="s">
        <v>317</v>
      </c>
      <c r="D1014">
        <v>420222</v>
      </c>
      <c r="E1014" t="s">
        <v>60</v>
      </c>
      <c r="F1014">
        <v>240002</v>
      </c>
      <c r="G1014" t="s">
        <v>166</v>
      </c>
      <c r="H1014">
        <v>24</v>
      </c>
      <c r="I1014" t="s">
        <v>118</v>
      </c>
      <c r="J1014">
        <v>1</v>
      </c>
      <c r="K1014" s="4">
        <v>15000</v>
      </c>
      <c r="L1014" s="4">
        <v>15000</v>
      </c>
    </row>
    <row r="1015" spans="2:12" ht="12.75">
      <c r="B1015" t="str">
        <f t="shared" si="48"/>
        <v>5807</v>
      </c>
      <c r="C1015" t="s">
        <v>317</v>
      </c>
      <c r="D1015">
        <v>420222</v>
      </c>
      <c r="E1015" t="s">
        <v>60</v>
      </c>
      <c r="F1015">
        <v>240006</v>
      </c>
      <c r="G1015" t="s">
        <v>323</v>
      </c>
      <c r="H1015">
        <v>24</v>
      </c>
      <c r="I1015" t="s">
        <v>118</v>
      </c>
      <c r="J1015">
        <v>1</v>
      </c>
      <c r="K1015" s="4">
        <v>8194</v>
      </c>
      <c r="L1015" s="4">
        <v>8194</v>
      </c>
    </row>
    <row r="1016" spans="2:13" ht="12.75">
      <c r="B1016" t="str">
        <f t="shared" si="48"/>
        <v>5807</v>
      </c>
      <c r="C1016" t="s">
        <v>317</v>
      </c>
      <c r="D1016">
        <v>420248</v>
      </c>
      <c r="E1016" t="s">
        <v>36</v>
      </c>
      <c r="F1016">
        <v>120007</v>
      </c>
      <c r="G1016" t="s">
        <v>25</v>
      </c>
      <c r="H1016">
        <v>12</v>
      </c>
      <c r="I1016" t="s">
        <v>38</v>
      </c>
      <c r="J1016">
        <v>1</v>
      </c>
      <c r="K1016" s="4">
        <v>50113</v>
      </c>
      <c r="L1016" s="4">
        <v>50113</v>
      </c>
      <c r="M1016" t="s">
        <v>324</v>
      </c>
    </row>
    <row r="1017" spans="2:12" ht="12.75">
      <c r="B1017" t="str">
        <f t="shared" si="48"/>
        <v>5807</v>
      </c>
      <c r="C1017" t="s">
        <v>317</v>
      </c>
      <c r="D1017">
        <v>420249</v>
      </c>
      <c r="E1017" t="s">
        <v>39</v>
      </c>
      <c r="F1017">
        <v>290001</v>
      </c>
      <c r="G1017" t="s">
        <v>207</v>
      </c>
      <c r="H1017">
        <v>29</v>
      </c>
      <c r="I1017" t="s">
        <v>142</v>
      </c>
      <c r="J1017">
        <v>1</v>
      </c>
      <c r="K1017" s="4">
        <v>4173</v>
      </c>
      <c r="L1017" s="4">
        <v>4173</v>
      </c>
    </row>
    <row r="1018" spans="2:12" ht="12.75">
      <c r="B1018" t="str">
        <f t="shared" si="48"/>
        <v>5807</v>
      </c>
      <c r="C1018" t="s">
        <v>317</v>
      </c>
      <c r="D1018">
        <v>420703</v>
      </c>
      <c r="E1018" t="s">
        <v>51</v>
      </c>
      <c r="F1018">
        <v>310005</v>
      </c>
      <c r="G1018" t="s">
        <v>46</v>
      </c>
      <c r="H1018">
        <v>31</v>
      </c>
      <c r="I1018" t="s">
        <v>26</v>
      </c>
      <c r="J1018">
        <v>1</v>
      </c>
      <c r="K1018" s="4">
        <v>37556</v>
      </c>
      <c r="L1018" s="4">
        <v>37556</v>
      </c>
    </row>
    <row r="1019" spans="1:2" ht="12.75">
      <c r="A1019" t="s">
        <v>47</v>
      </c>
      <c r="B1019">
        <f>SUM(L998:L1018)</f>
        <v>929283</v>
      </c>
    </row>
    <row r="1021" ht="12.75">
      <c r="A1021" t="str">
        <f>"2312 - Veterinarska uprava RS, verzija: 1"</f>
        <v>2312 - Veterinarska uprava RS, verzija: 1</v>
      </c>
    </row>
    <row r="1022" spans="2:13" ht="12.75">
      <c r="B1022" t="s">
        <v>3</v>
      </c>
      <c r="D1022" t="s">
        <v>4</v>
      </c>
      <c r="F1022" t="s">
        <v>5</v>
      </c>
      <c r="H1022" t="s">
        <v>6</v>
      </c>
      <c r="J1022" t="s">
        <v>7</v>
      </c>
      <c r="K1022" s="4" t="s">
        <v>8</v>
      </c>
      <c r="L1022" s="4" t="s">
        <v>9</v>
      </c>
      <c r="M1022" t="s">
        <v>10</v>
      </c>
    </row>
    <row r="1023" spans="2:12" ht="12.75">
      <c r="B1023" t="str">
        <f aca="true" t="shared" si="49" ref="B1023:B1030">"6125"</f>
        <v>6125</v>
      </c>
      <c r="C1023" t="s">
        <v>325</v>
      </c>
      <c r="D1023">
        <v>402007</v>
      </c>
      <c r="E1023" t="s">
        <v>41</v>
      </c>
      <c r="F1023">
        <v>60004</v>
      </c>
      <c r="G1023" t="s">
        <v>33</v>
      </c>
      <c r="H1023">
        <v>6</v>
      </c>
      <c r="I1023" t="s">
        <v>32</v>
      </c>
      <c r="J1023">
        <v>10</v>
      </c>
      <c r="K1023" s="4">
        <v>400</v>
      </c>
      <c r="L1023" s="4">
        <v>4000</v>
      </c>
    </row>
    <row r="1024" spans="2:12" ht="12.75">
      <c r="B1024" t="str">
        <f t="shared" si="49"/>
        <v>6125</v>
      </c>
      <c r="C1024" t="s">
        <v>325</v>
      </c>
      <c r="D1024">
        <v>402514</v>
      </c>
      <c r="E1024" t="s">
        <v>45</v>
      </c>
      <c r="F1024">
        <v>310006</v>
      </c>
      <c r="G1024" t="s">
        <v>204</v>
      </c>
      <c r="H1024">
        <v>31</v>
      </c>
      <c r="I1024" t="s">
        <v>26</v>
      </c>
      <c r="J1024">
        <v>1</v>
      </c>
      <c r="K1024" s="4">
        <v>18788</v>
      </c>
      <c r="L1024" s="4">
        <v>18788</v>
      </c>
    </row>
    <row r="1025" spans="2:12" ht="12.75">
      <c r="B1025" t="str">
        <f t="shared" si="49"/>
        <v>6125</v>
      </c>
      <c r="C1025" t="s">
        <v>325</v>
      </c>
      <c r="D1025">
        <v>402515</v>
      </c>
      <c r="E1025" t="s">
        <v>15</v>
      </c>
      <c r="F1025">
        <v>350001</v>
      </c>
      <c r="G1025" t="s">
        <v>16</v>
      </c>
      <c r="H1025">
        <v>35</v>
      </c>
      <c r="I1025" t="s">
        <v>17</v>
      </c>
      <c r="J1025">
        <v>1</v>
      </c>
      <c r="K1025" s="4">
        <v>3000</v>
      </c>
      <c r="L1025" s="4">
        <v>3000</v>
      </c>
    </row>
    <row r="1026" spans="2:12" ht="12.75">
      <c r="B1026" t="str">
        <f t="shared" si="49"/>
        <v>6125</v>
      </c>
      <c r="C1026" t="s">
        <v>325</v>
      </c>
      <c r="D1026">
        <v>402515</v>
      </c>
      <c r="E1026" t="s">
        <v>15</v>
      </c>
      <c r="F1026">
        <v>350005</v>
      </c>
      <c r="G1026" t="s">
        <v>96</v>
      </c>
      <c r="H1026">
        <v>35</v>
      </c>
      <c r="I1026" t="s">
        <v>17</v>
      </c>
      <c r="J1026">
        <v>1</v>
      </c>
      <c r="K1026" s="4">
        <v>9000</v>
      </c>
      <c r="L1026" s="4">
        <v>9000</v>
      </c>
    </row>
    <row r="1027" spans="2:12" ht="12.75">
      <c r="B1027" t="str">
        <f t="shared" si="49"/>
        <v>6125</v>
      </c>
      <c r="C1027" t="s">
        <v>325</v>
      </c>
      <c r="D1027">
        <v>402516</v>
      </c>
      <c r="E1027" t="s">
        <v>109</v>
      </c>
      <c r="F1027">
        <v>310002</v>
      </c>
      <c r="G1027" t="s">
        <v>86</v>
      </c>
      <c r="H1027">
        <v>31</v>
      </c>
      <c r="I1027" t="s">
        <v>26</v>
      </c>
      <c r="J1027">
        <v>1</v>
      </c>
      <c r="K1027" s="4">
        <v>94975</v>
      </c>
      <c r="L1027" s="4">
        <v>94975</v>
      </c>
    </row>
    <row r="1028" spans="2:12" ht="12.75">
      <c r="B1028" t="str">
        <f t="shared" si="49"/>
        <v>6125</v>
      </c>
      <c r="C1028" t="s">
        <v>325</v>
      </c>
      <c r="D1028">
        <v>420202</v>
      </c>
      <c r="E1028" t="s">
        <v>19</v>
      </c>
      <c r="F1028">
        <v>10002</v>
      </c>
      <c r="G1028" t="s">
        <v>20</v>
      </c>
      <c r="H1028">
        <v>1</v>
      </c>
      <c r="I1028" t="s">
        <v>21</v>
      </c>
      <c r="J1028">
        <v>50</v>
      </c>
      <c r="K1028" s="4">
        <v>600</v>
      </c>
      <c r="L1028" s="4">
        <v>30000</v>
      </c>
    </row>
    <row r="1029" spans="2:12" ht="12.75">
      <c r="B1029" t="str">
        <f t="shared" si="49"/>
        <v>6125</v>
      </c>
      <c r="C1029" t="s">
        <v>325</v>
      </c>
      <c r="D1029">
        <v>420202</v>
      </c>
      <c r="E1029" t="s">
        <v>19</v>
      </c>
      <c r="F1029">
        <v>20003</v>
      </c>
      <c r="G1029" t="s">
        <v>25</v>
      </c>
      <c r="H1029">
        <v>2</v>
      </c>
      <c r="I1029" t="s">
        <v>30</v>
      </c>
      <c r="J1029">
        <v>1</v>
      </c>
      <c r="K1029" s="4">
        <v>3000</v>
      </c>
      <c r="L1029" s="4">
        <v>3000</v>
      </c>
    </row>
    <row r="1030" spans="2:12" ht="12.75">
      <c r="B1030" t="str">
        <f t="shared" si="49"/>
        <v>6125</v>
      </c>
      <c r="C1030" t="s">
        <v>325</v>
      </c>
      <c r="D1030">
        <v>420202</v>
      </c>
      <c r="E1030" t="s">
        <v>19</v>
      </c>
      <c r="F1030">
        <v>40002</v>
      </c>
      <c r="G1030" t="s">
        <v>22</v>
      </c>
      <c r="H1030">
        <v>4</v>
      </c>
      <c r="I1030" t="s">
        <v>23</v>
      </c>
      <c r="J1030">
        <v>50</v>
      </c>
      <c r="K1030" s="4">
        <v>250</v>
      </c>
      <c r="L1030" s="4">
        <v>12500</v>
      </c>
    </row>
    <row r="1031" spans="1:2" ht="12.75">
      <c r="A1031" t="s">
        <v>47</v>
      </c>
      <c r="B1031">
        <f>SUM(L1023:L1030)</f>
        <v>175263</v>
      </c>
    </row>
    <row r="1033" ht="12.75">
      <c r="A1033" t="str">
        <f>"2314 - Inšpektorat RS za kmetijstvo, gozdarstvo in hrano, verzija: 1"</f>
        <v>2314 - Inšpektorat RS za kmetijstvo, gozdarstvo in hrano, verzija: 1</v>
      </c>
    </row>
    <row r="1034" spans="2:13" ht="12.75">
      <c r="B1034" t="s">
        <v>3</v>
      </c>
      <c r="D1034" t="s">
        <v>4</v>
      </c>
      <c r="F1034" t="s">
        <v>5</v>
      </c>
      <c r="H1034" t="s">
        <v>6</v>
      </c>
      <c r="J1034" t="s">
        <v>7</v>
      </c>
      <c r="K1034" s="4" t="s">
        <v>8</v>
      </c>
      <c r="L1034" s="4" t="s">
        <v>9</v>
      </c>
      <c r="M1034" t="s">
        <v>10</v>
      </c>
    </row>
    <row r="1035" spans="2:13" ht="12.75">
      <c r="B1035" t="str">
        <f>"2618"</f>
        <v>2618</v>
      </c>
      <c r="C1035" t="s">
        <v>326</v>
      </c>
      <c r="D1035">
        <v>402510</v>
      </c>
      <c r="E1035" t="s">
        <v>12</v>
      </c>
      <c r="F1035">
        <v>10004</v>
      </c>
      <c r="G1035" t="s">
        <v>25</v>
      </c>
      <c r="H1035">
        <v>1</v>
      </c>
      <c r="I1035" t="s">
        <v>21</v>
      </c>
      <c r="J1035">
        <v>1</v>
      </c>
      <c r="K1035" s="4">
        <v>7000</v>
      </c>
      <c r="L1035" s="4">
        <v>7000</v>
      </c>
      <c r="M1035" t="s">
        <v>327</v>
      </c>
    </row>
    <row r="1036" spans="2:13" ht="12.75">
      <c r="B1036" t="str">
        <f>"2618"</f>
        <v>2618</v>
      </c>
      <c r="C1036" t="s">
        <v>326</v>
      </c>
      <c r="D1036">
        <v>402513</v>
      </c>
      <c r="E1036" t="s">
        <v>85</v>
      </c>
      <c r="F1036">
        <v>350005</v>
      </c>
      <c r="G1036" t="s">
        <v>96</v>
      </c>
      <c r="H1036">
        <v>35</v>
      </c>
      <c r="I1036" t="s">
        <v>17</v>
      </c>
      <c r="J1036">
        <v>1</v>
      </c>
      <c r="K1036" s="4">
        <v>9000</v>
      </c>
      <c r="L1036" s="4">
        <v>9000</v>
      </c>
      <c r="M1036" t="s">
        <v>328</v>
      </c>
    </row>
    <row r="1037" spans="2:12" ht="12.75">
      <c r="B1037" t="str">
        <f>"2618"</f>
        <v>2618</v>
      </c>
      <c r="C1037" t="s">
        <v>326</v>
      </c>
      <c r="D1037">
        <v>402513</v>
      </c>
      <c r="E1037" t="s">
        <v>85</v>
      </c>
      <c r="F1037">
        <v>410005</v>
      </c>
      <c r="G1037" t="s">
        <v>190</v>
      </c>
      <c r="H1037">
        <v>41</v>
      </c>
      <c r="I1037" t="s">
        <v>14</v>
      </c>
      <c r="J1037">
        <v>1</v>
      </c>
      <c r="K1037" s="4">
        <v>40000</v>
      </c>
      <c r="L1037" s="4">
        <v>40000</v>
      </c>
    </row>
    <row r="1038" spans="2:12" ht="12.75">
      <c r="B1038" t="str">
        <f>"2618"</f>
        <v>2618</v>
      </c>
      <c r="C1038" t="s">
        <v>326</v>
      </c>
      <c r="D1038">
        <v>402514</v>
      </c>
      <c r="E1038" t="s">
        <v>45</v>
      </c>
      <c r="F1038">
        <v>310007</v>
      </c>
      <c r="G1038" t="s">
        <v>82</v>
      </c>
      <c r="H1038">
        <v>31</v>
      </c>
      <c r="I1038" t="s">
        <v>26</v>
      </c>
      <c r="J1038">
        <v>1</v>
      </c>
      <c r="K1038" s="4">
        <v>2000</v>
      </c>
      <c r="L1038" s="4">
        <v>2000</v>
      </c>
    </row>
    <row r="1039" spans="2:12" ht="12.75">
      <c r="B1039" t="str">
        <f>"2618"</f>
        <v>2618</v>
      </c>
      <c r="C1039" t="s">
        <v>326</v>
      </c>
      <c r="D1039">
        <v>402515</v>
      </c>
      <c r="E1039" t="s">
        <v>15</v>
      </c>
      <c r="F1039">
        <v>350001</v>
      </c>
      <c r="G1039" t="s">
        <v>16</v>
      </c>
      <c r="H1039">
        <v>35</v>
      </c>
      <c r="I1039" t="s">
        <v>17</v>
      </c>
      <c r="J1039">
        <v>1</v>
      </c>
      <c r="K1039" s="4">
        <v>5000</v>
      </c>
      <c r="L1039" s="4">
        <v>5000</v>
      </c>
    </row>
    <row r="1040" spans="2:12" ht="12.75">
      <c r="B1040" t="str">
        <f aca="true" t="shared" si="50" ref="B1040:B1048">"7720"</f>
        <v>7720</v>
      </c>
      <c r="C1040" t="s">
        <v>27</v>
      </c>
      <c r="D1040">
        <v>420202</v>
      </c>
      <c r="E1040" t="s">
        <v>19</v>
      </c>
      <c r="F1040">
        <v>20001</v>
      </c>
      <c r="G1040" t="s">
        <v>29</v>
      </c>
      <c r="H1040">
        <v>2</v>
      </c>
      <c r="I1040" t="s">
        <v>30</v>
      </c>
      <c r="J1040">
        <v>10</v>
      </c>
      <c r="K1040" s="4">
        <v>1600</v>
      </c>
      <c r="L1040" s="4">
        <v>16000</v>
      </c>
    </row>
    <row r="1041" spans="2:12" ht="12.75">
      <c r="B1041" t="str">
        <f t="shared" si="50"/>
        <v>7720</v>
      </c>
      <c r="C1041" t="s">
        <v>27</v>
      </c>
      <c r="D1041">
        <v>420202</v>
      </c>
      <c r="E1041" t="s">
        <v>19</v>
      </c>
      <c r="F1041">
        <v>40002</v>
      </c>
      <c r="G1041" t="s">
        <v>22</v>
      </c>
      <c r="H1041">
        <v>4</v>
      </c>
      <c r="I1041" t="s">
        <v>23</v>
      </c>
      <c r="J1041">
        <v>10</v>
      </c>
      <c r="K1041" s="4">
        <v>390</v>
      </c>
      <c r="L1041" s="4">
        <v>3900</v>
      </c>
    </row>
    <row r="1042" spans="2:13" ht="12.75">
      <c r="B1042" t="str">
        <f t="shared" si="50"/>
        <v>7720</v>
      </c>
      <c r="C1042" t="s">
        <v>27</v>
      </c>
      <c r="D1042">
        <v>420202</v>
      </c>
      <c r="E1042" t="s">
        <v>19</v>
      </c>
      <c r="F1042">
        <v>400001</v>
      </c>
      <c r="G1042" t="s">
        <v>21</v>
      </c>
      <c r="H1042">
        <v>40</v>
      </c>
      <c r="I1042" t="s">
        <v>50</v>
      </c>
      <c r="J1042">
        <v>1</v>
      </c>
      <c r="K1042" s="4">
        <v>2000</v>
      </c>
      <c r="L1042" s="4">
        <v>2000</v>
      </c>
      <c r="M1042" t="s">
        <v>329</v>
      </c>
    </row>
    <row r="1043" spans="2:13" ht="12.75">
      <c r="B1043" t="str">
        <f t="shared" si="50"/>
        <v>7720</v>
      </c>
      <c r="C1043" t="s">
        <v>27</v>
      </c>
      <c r="D1043">
        <v>420222</v>
      </c>
      <c r="E1043" t="s">
        <v>60</v>
      </c>
      <c r="F1043">
        <v>130006</v>
      </c>
      <c r="G1043" t="s">
        <v>230</v>
      </c>
      <c r="H1043">
        <v>13</v>
      </c>
      <c r="I1043" t="s">
        <v>137</v>
      </c>
      <c r="J1043">
        <v>1</v>
      </c>
      <c r="K1043" s="4">
        <v>30000</v>
      </c>
      <c r="L1043" s="4">
        <v>30000</v>
      </c>
      <c r="M1043" t="s">
        <v>330</v>
      </c>
    </row>
    <row r="1044" spans="2:13" ht="12.75">
      <c r="B1044" t="str">
        <f t="shared" si="50"/>
        <v>7720</v>
      </c>
      <c r="C1044" t="s">
        <v>27</v>
      </c>
      <c r="D1044">
        <v>420222</v>
      </c>
      <c r="E1044" t="s">
        <v>60</v>
      </c>
      <c r="F1044">
        <v>130007</v>
      </c>
      <c r="G1044" t="s">
        <v>25</v>
      </c>
      <c r="H1044">
        <v>13</v>
      </c>
      <c r="I1044" t="s">
        <v>137</v>
      </c>
      <c r="J1044">
        <v>1</v>
      </c>
      <c r="K1044" s="4">
        <v>15000</v>
      </c>
      <c r="L1044" s="4">
        <v>15000</v>
      </c>
      <c r="M1044" t="s">
        <v>331</v>
      </c>
    </row>
    <row r="1045" spans="2:13" ht="12.75">
      <c r="B1045" t="str">
        <f t="shared" si="50"/>
        <v>7720</v>
      </c>
      <c r="C1045" t="s">
        <v>27</v>
      </c>
      <c r="D1045">
        <v>420238</v>
      </c>
      <c r="E1045" t="s">
        <v>34</v>
      </c>
      <c r="F1045">
        <v>390001</v>
      </c>
      <c r="G1045" t="s">
        <v>306</v>
      </c>
      <c r="H1045">
        <v>39</v>
      </c>
      <c r="I1045" t="s">
        <v>141</v>
      </c>
      <c r="J1045">
        <v>10</v>
      </c>
      <c r="K1045" s="4">
        <v>800</v>
      </c>
      <c r="L1045" s="4">
        <v>8000</v>
      </c>
      <c r="M1045" t="s">
        <v>332</v>
      </c>
    </row>
    <row r="1046" spans="2:13" ht="12.75">
      <c r="B1046" t="str">
        <f t="shared" si="50"/>
        <v>7720</v>
      </c>
      <c r="C1046" t="s">
        <v>27</v>
      </c>
      <c r="D1046">
        <v>420703</v>
      </c>
      <c r="E1046" t="s">
        <v>51</v>
      </c>
      <c r="F1046">
        <v>130006</v>
      </c>
      <c r="G1046" t="s">
        <v>230</v>
      </c>
      <c r="H1046">
        <v>13</v>
      </c>
      <c r="I1046" t="s">
        <v>137</v>
      </c>
      <c r="J1046">
        <v>50</v>
      </c>
      <c r="K1046" s="4">
        <v>200</v>
      </c>
      <c r="L1046" s="4">
        <v>10000</v>
      </c>
      <c r="M1046" t="s">
        <v>333</v>
      </c>
    </row>
    <row r="1047" spans="2:13" ht="12.75">
      <c r="B1047" t="str">
        <f t="shared" si="50"/>
        <v>7720</v>
      </c>
      <c r="C1047" t="s">
        <v>27</v>
      </c>
      <c r="D1047">
        <v>420703</v>
      </c>
      <c r="E1047" t="s">
        <v>51</v>
      </c>
      <c r="F1047">
        <v>310005</v>
      </c>
      <c r="G1047" t="s">
        <v>46</v>
      </c>
      <c r="H1047">
        <v>31</v>
      </c>
      <c r="I1047" t="s">
        <v>26</v>
      </c>
      <c r="J1047">
        <v>5</v>
      </c>
      <c r="K1047" s="4">
        <v>250</v>
      </c>
      <c r="L1047" s="4">
        <v>1250</v>
      </c>
      <c r="M1047" t="s">
        <v>334</v>
      </c>
    </row>
    <row r="1048" spans="2:13" ht="12.75">
      <c r="B1048" t="str">
        <f t="shared" si="50"/>
        <v>7720</v>
      </c>
      <c r="C1048" t="s">
        <v>27</v>
      </c>
      <c r="D1048">
        <v>420703</v>
      </c>
      <c r="E1048" t="s">
        <v>51</v>
      </c>
      <c r="F1048">
        <v>310009</v>
      </c>
      <c r="G1048" t="s">
        <v>25</v>
      </c>
      <c r="H1048">
        <v>31</v>
      </c>
      <c r="I1048" t="s">
        <v>26</v>
      </c>
      <c r="J1048">
        <v>1</v>
      </c>
      <c r="K1048" s="4">
        <v>15000</v>
      </c>
      <c r="L1048" s="4">
        <v>15000</v>
      </c>
      <c r="M1048" t="s">
        <v>335</v>
      </c>
    </row>
    <row r="1049" spans="1:2" ht="12.75">
      <c r="A1049" t="s">
        <v>47</v>
      </c>
      <c r="B1049">
        <f>SUM(L1035:L1048)</f>
        <v>164150</v>
      </c>
    </row>
    <row r="1051" ht="12.75">
      <c r="A1051" t="str">
        <f>"2318 - Agencija RS za kmetijske trge in razvoj podeželja, verzija: 1"</f>
        <v>2318 - Agencija RS za kmetijske trge in razvoj podeželja, verzija: 1</v>
      </c>
    </row>
    <row r="1052" spans="2:13" ht="12.75">
      <c r="B1052" t="s">
        <v>3</v>
      </c>
      <c r="D1052" t="s">
        <v>4</v>
      </c>
      <c r="F1052" t="s">
        <v>5</v>
      </c>
      <c r="H1052" t="s">
        <v>6</v>
      </c>
      <c r="J1052" t="s">
        <v>7</v>
      </c>
      <c r="K1052" s="4" t="s">
        <v>8</v>
      </c>
      <c r="L1052" s="4" t="s">
        <v>9</v>
      </c>
      <c r="M1052" t="s">
        <v>10</v>
      </c>
    </row>
    <row r="1053" spans="2:13" ht="12.75">
      <c r="B1053" t="str">
        <f aca="true" t="shared" si="51" ref="B1053:B1062">"6649"</f>
        <v>6649</v>
      </c>
      <c r="C1053" t="s">
        <v>40</v>
      </c>
      <c r="D1053">
        <v>402007</v>
      </c>
      <c r="E1053" t="s">
        <v>41</v>
      </c>
      <c r="F1053">
        <v>350005</v>
      </c>
      <c r="G1053" t="s">
        <v>96</v>
      </c>
      <c r="H1053">
        <v>35</v>
      </c>
      <c r="I1053" t="s">
        <v>17</v>
      </c>
      <c r="J1053">
        <v>1</v>
      </c>
      <c r="K1053" s="4">
        <v>20000</v>
      </c>
      <c r="L1053" s="4">
        <v>20000</v>
      </c>
      <c r="M1053" t="s">
        <v>336</v>
      </c>
    </row>
    <row r="1054" spans="2:13" ht="12.75">
      <c r="B1054" t="str">
        <f t="shared" si="51"/>
        <v>6649</v>
      </c>
      <c r="C1054" t="s">
        <v>40</v>
      </c>
      <c r="D1054">
        <v>402007</v>
      </c>
      <c r="E1054" t="s">
        <v>41</v>
      </c>
      <c r="F1054">
        <v>350005</v>
      </c>
      <c r="G1054" t="s">
        <v>96</v>
      </c>
      <c r="H1054">
        <v>35</v>
      </c>
      <c r="I1054" t="s">
        <v>17</v>
      </c>
      <c r="J1054">
        <v>1</v>
      </c>
      <c r="K1054" s="4">
        <v>9500</v>
      </c>
      <c r="L1054" s="4">
        <v>9500</v>
      </c>
      <c r="M1054" t="s">
        <v>337</v>
      </c>
    </row>
    <row r="1055" spans="2:13" ht="12.75">
      <c r="B1055" t="str">
        <f t="shared" si="51"/>
        <v>6649</v>
      </c>
      <c r="C1055" t="s">
        <v>40</v>
      </c>
      <c r="D1055">
        <v>402007</v>
      </c>
      <c r="E1055" t="s">
        <v>41</v>
      </c>
      <c r="F1055">
        <v>350005</v>
      </c>
      <c r="G1055" t="s">
        <v>96</v>
      </c>
      <c r="H1055">
        <v>35</v>
      </c>
      <c r="I1055" t="s">
        <v>17</v>
      </c>
      <c r="J1055">
        <v>1</v>
      </c>
      <c r="K1055" s="4">
        <v>100000</v>
      </c>
      <c r="L1055" s="4">
        <v>100000</v>
      </c>
      <c r="M1055" t="s">
        <v>338</v>
      </c>
    </row>
    <row r="1056" spans="2:13" ht="12.75">
      <c r="B1056" t="str">
        <f t="shared" si="51"/>
        <v>6649</v>
      </c>
      <c r="C1056" t="s">
        <v>40</v>
      </c>
      <c r="D1056">
        <v>402007</v>
      </c>
      <c r="E1056" t="s">
        <v>41</v>
      </c>
      <c r="F1056">
        <v>400012</v>
      </c>
      <c r="G1056" t="s">
        <v>90</v>
      </c>
      <c r="H1056">
        <v>40</v>
      </c>
      <c r="I1056" t="s">
        <v>50</v>
      </c>
      <c r="J1056">
        <v>1</v>
      </c>
      <c r="K1056" s="4">
        <v>55000</v>
      </c>
      <c r="L1056" s="4">
        <v>55000</v>
      </c>
      <c r="M1056" t="s">
        <v>339</v>
      </c>
    </row>
    <row r="1057" spans="2:13" ht="12.75">
      <c r="B1057" t="str">
        <f t="shared" si="51"/>
        <v>6649</v>
      </c>
      <c r="C1057" t="s">
        <v>40</v>
      </c>
      <c r="D1057">
        <v>402007</v>
      </c>
      <c r="E1057" t="s">
        <v>41</v>
      </c>
      <c r="F1057">
        <v>400014</v>
      </c>
      <c r="G1057" t="s">
        <v>38</v>
      </c>
      <c r="H1057">
        <v>40</v>
      </c>
      <c r="I1057" t="s">
        <v>50</v>
      </c>
      <c r="J1057">
        <v>1</v>
      </c>
      <c r="K1057" s="4">
        <v>10000</v>
      </c>
      <c r="L1057" s="4">
        <v>10000</v>
      </c>
      <c r="M1057" t="s">
        <v>340</v>
      </c>
    </row>
    <row r="1058" spans="2:13" ht="12.75">
      <c r="B1058" t="str">
        <f t="shared" si="51"/>
        <v>6649</v>
      </c>
      <c r="C1058" t="s">
        <v>40</v>
      </c>
      <c r="D1058">
        <v>402007</v>
      </c>
      <c r="E1058" t="s">
        <v>41</v>
      </c>
      <c r="F1058">
        <v>400024</v>
      </c>
      <c r="G1058" t="s">
        <v>25</v>
      </c>
      <c r="H1058">
        <v>40</v>
      </c>
      <c r="I1058" t="s">
        <v>50</v>
      </c>
      <c r="J1058">
        <v>1</v>
      </c>
      <c r="K1058" s="4">
        <v>15022.54</v>
      </c>
      <c r="L1058" s="4">
        <v>15022.54</v>
      </c>
      <c r="M1058" t="s">
        <v>341</v>
      </c>
    </row>
    <row r="1059" spans="2:12" ht="12.75">
      <c r="B1059" t="str">
        <f t="shared" si="51"/>
        <v>6649</v>
      </c>
      <c r="C1059" t="s">
        <v>40</v>
      </c>
      <c r="D1059">
        <v>402007</v>
      </c>
      <c r="E1059" t="s">
        <v>41</v>
      </c>
      <c r="F1059">
        <v>410001</v>
      </c>
      <c r="G1059" t="s">
        <v>13</v>
      </c>
      <c r="H1059">
        <v>41</v>
      </c>
      <c r="I1059" t="s">
        <v>14</v>
      </c>
      <c r="J1059">
        <v>1</v>
      </c>
      <c r="K1059" s="4">
        <v>40000</v>
      </c>
      <c r="L1059" s="4">
        <v>40000</v>
      </c>
    </row>
    <row r="1060" spans="2:13" ht="12.75">
      <c r="B1060" t="str">
        <f t="shared" si="51"/>
        <v>6649</v>
      </c>
      <c r="C1060" t="s">
        <v>40</v>
      </c>
      <c r="D1060">
        <v>402007</v>
      </c>
      <c r="E1060" t="s">
        <v>41</v>
      </c>
      <c r="F1060">
        <v>410004</v>
      </c>
      <c r="G1060" t="s">
        <v>265</v>
      </c>
      <c r="H1060">
        <v>41</v>
      </c>
      <c r="I1060" t="s">
        <v>14</v>
      </c>
      <c r="J1060">
        <v>1</v>
      </c>
      <c r="K1060" s="4">
        <v>55000</v>
      </c>
      <c r="L1060" s="4">
        <v>55000</v>
      </c>
      <c r="M1060" t="s">
        <v>342</v>
      </c>
    </row>
    <row r="1061" spans="2:12" ht="12.75">
      <c r="B1061" t="str">
        <f t="shared" si="51"/>
        <v>6649</v>
      </c>
      <c r="C1061" t="s">
        <v>40</v>
      </c>
      <c r="D1061">
        <v>402510</v>
      </c>
      <c r="E1061" t="s">
        <v>12</v>
      </c>
      <c r="F1061">
        <v>350004</v>
      </c>
      <c r="G1061" t="s">
        <v>188</v>
      </c>
      <c r="H1061">
        <v>35</v>
      </c>
      <c r="I1061" t="s">
        <v>17</v>
      </c>
      <c r="J1061">
        <v>1</v>
      </c>
      <c r="K1061" s="4">
        <v>10000</v>
      </c>
      <c r="L1061" s="4">
        <v>10000</v>
      </c>
    </row>
    <row r="1062" spans="2:13" ht="12.75">
      <c r="B1062" t="str">
        <f t="shared" si="51"/>
        <v>6649</v>
      </c>
      <c r="C1062" t="s">
        <v>40</v>
      </c>
      <c r="D1062">
        <v>402604</v>
      </c>
      <c r="E1062" t="s">
        <v>97</v>
      </c>
      <c r="F1062">
        <v>300001</v>
      </c>
      <c r="G1062" t="s">
        <v>25</v>
      </c>
      <c r="H1062">
        <v>30</v>
      </c>
      <c r="I1062" t="s">
        <v>94</v>
      </c>
      <c r="J1062">
        <v>1</v>
      </c>
      <c r="K1062" s="4">
        <v>7159</v>
      </c>
      <c r="L1062" s="4">
        <v>7159</v>
      </c>
      <c r="M1062" t="s">
        <v>343</v>
      </c>
    </row>
    <row r="1063" spans="2:12" ht="12.75">
      <c r="B1063" t="str">
        <f aca="true" t="shared" si="52" ref="B1063:B1073">"6650"</f>
        <v>6650</v>
      </c>
      <c r="C1063" t="s">
        <v>27</v>
      </c>
      <c r="D1063">
        <v>420202</v>
      </c>
      <c r="E1063" t="s">
        <v>19</v>
      </c>
      <c r="F1063">
        <v>20002</v>
      </c>
      <c r="G1063" t="s">
        <v>58</v>
      </c>
      <c r="H1063">
        <v>2</v>
      </c>
      <c r="I1063" t="s">
        <v>30</v>
      </c>
      <c r="J1063">
        <v>15</v>
      </c>
      <c r="K1063" s="4">
        <v>1500</v>
      </c>
      <c r="L1063" s="4">
        <v>22500</v>
      </c>
    </row>
    <row r="1064" spans="2:13" ht="12.75">
      <c r="B1064" t="str">
        <f t="shared" si="52"/>
        <v>6650</v>
      </c>
      <c r="C1064" t="s">
        <v>27</v>
      </c>
      <c r="D1064">
        <v>420202</v>
      </c>
      <c r="E1064" t="s">
        <v>19</v>
      </c>
      <c r="F1064">
        <v>60005</v>
      </c>
      <c r="G1064" t="s">
        <v>25</v>
      </c>
      <c r="H1064">
        <v>6</v>
      </c>
      <c r="I1064" t="s">
        <v>32</v>
      </c>
      <c r="J1064">
        <v>10</v>
      </c>
      <c r="K1064" s="4">
        <v>480</v>
      </c>
      <c r="L1064" s="4">
        <v>4800</v>
      </c>
      <c r="M1064" t="s">
        <v>344</v>
      </c>
    </row>
    <row r="1065" spans="2:13" ht="12.75">
      <c r="B1065" t="str">
        <f t="shared" si="52"/>
        <v>6650</v>
      </c>
      <c r="C1065" t="s">
        <v>27</v>
      </c>
      <c r="D1065">
        <v>420222</v>
      </c>
      <c r="E1065" t="s">
        <v>60</v>
      </c>
      <c r="F1065">
        <v>190008</v>
      </c>
      <c r="G1065" t="s">
        <v>87</v>
      </c>
      <c r="H1065">
        <v>19</v>
      </c>
      <c r="I1065" t="s">
        <v>62</v>
      </c>
      <c r="J1065">
        <v>1</v>
      </c>
      <c r="K1065" s="4">
        <v>150000</v>
      </c>
      <c r="L1065" s="4">
        <v>150000</v>
      </c>
      <c r="M1065" t="s">
        <v>345</v>
      </c>
    </row>
    <row r="1066" spans="2:13" ht="12.75">
      <c r="B1066" t="str">
        <f t="shared" si="52"/>
        <v>6650</v>
      </c>
      <c r="C1066" t="s">
        <v>27</v>
      </c>
      <c r="D1066">
        <v>420222</v>
      </c>
      <c r="E1066" t="s">
        <v>60</v>
      </c>
      <c r="F1066">
        <v>240007</v>
      </c>
      <c r="G1066" t="s">
        <v>303</v>
      </c>
      <c r="H1066">
        <v>24</v>
      </c>
      <c r="I1066" t="s">
        <v>118</v>
      </c>
      <c r="J1066">
        <v>1</v>
      </c>
      <c r="K1066" s="4">
        <v>102965</v>
      </c>
      <c r="L1066" s="4">
        <v>102965</v>
      </c>
      <c r="M1066" t="s">
        <v>346</v>
      </c>
    </row>
    <row r="1067" spans="2:12" ht="12.75">
      <c r="B1067" t="str">
        <f t="shared" si="52"/>
        <v>6650</v>
      </c>
      <c r="C1067" t="s">
        <v>27</v>
      </c>
      <c r="D1067">
        <v>420238</v>
      </c>
      <c r="E1067" t="s">
        <v>34</v>
      </c>
      <c r="F1067">
        <v>50003</v>
      </c>
      <c r="G1067" t="s">
        <v>347</v>
      </c>
      <c r="H1067">
        <v>5</v>
      </c>
      <c r="I1067" t="s">
        <v>89</v>
      </c>
      <c r="J1067">
        <v>1</v>
      </c>
      <c r="K1067" s="4">
        <v>3000</v>
      </c>
      <c r="L1067" s="4">
        <v>3000</v>
      </c>
    </row>
    <row r="1068" spans="2:12" ht="12.75">
      <c r="B1068" t="str">
        <f t="shared" si="52"/>
        <v>6650</v>
      </c>
      <c r="C1068" t="s">
        <v>27</v>
      </c>
      <c r="D1068">
        <v>420238</v>
      </c>
      <c r="E1068" t="s">
        <v>34</v>
      </c>
      <c r="F1068">
        <v>70001</v>
      </c>
      <c r="G1068" t="s">
        <v>213</v>
      </c>
      <c r="H1068">
        <v>7</v>
      </c>
      <c r="I1068" t="s">
        <v>74</v>
      </c>
      <c r="J1068">
        <v>10</v>
      </c>
      <c r="K1068" s="4">
        <v>2000</v>
      </c>
      <c r="L1068" s="4">
        <v>20000</v>
      </c>
    </row>
    <row r="1069" spans="2:12" ht="12.75">
      <c r="B1069" t="str">
        <f t="shared" si="52"/>
        <v>6650</v>
      </c>
      <c r="C1069" t="s">
        <v>27</v>
      </c>
      <c r="D1069">
        <v>420238</v>
      </c>
      <c r="E1069" t="s">
        <v>34</v>
      </c>
      <c r="F1069">
        <v>100001</v>
      </c>
      <c r="G1069" t="s">
        <v>77</v>
      </c>
      <c r="H1069">
        <v>10</v>
      </c>
      <c r="I1069" t="s">
        <v>35</v>
      </c>
      <c r="J1069">
        <v>10</v>
      </c>
      <c r="K1069" s="4">
        <v>200</v>
      </c>
      <c r="L1069" s="4">
        <v>2000</v>
      </c>
    </row>
    <row r="1070" spans="2:12" ht="12.75">
      <c r="B1070" t="str">
        <f t="shared" si="52"/>
        <v>6650</v>
      </c>
      <c r="C1070" t="s">
        <v>27</v>
      </c>
      <c r="D1070">
        <v>420238</v>
      </c>
      <c r="E1070" t="s">
        <v>34</v>
      </c>
      <c r="F1070">
        <v>100008</v>
      </c>
      <c r="G1070" t="s">
        <v>296</v>
      </c>
      <c r="H1070">
        <v>10</v>
      </c>
      <c r="I1070" t="s">
        <v>35</v>
      </c>
      <c r="J1070">
        <v>1</v>
      </c>
      <c r="K1070" s="4">
        <v>5000</v>
      </c>
      <c r="L1070" s="4">
        <v>5000</v>
      </c>
    </row>
    <row r="1071" spans="2:12" ht="12.75">
      <c r="B1071" t="str">
        <f t="shared" si="52"/>
        <v>6650</v>
      </c>
      <c r="C1071" t="s">
        <v>27</v>
      </c>
      <c r="D1071">
        <v>420238</v>
      </c>
      <c r="E1071" t="s">
        <v>34</v>
      </c>
      <c r="F1071">
        <v>210005</v>
      </c>
      <c r="G1071" t="s">
        <v>25</v>
      </c>
      <c r="H1071">
        <v>21</v>
      </c>
      <c r="I1071" t="s">
        <v>200</v>
      </c>
      <c r="J1071">
        <v>1</v>
      </c>
      <c r="K1071" s="4">
        <v>23000</v>
      </c>
      <c r="L1071" s="4">
        <v>23000</v>
      </c>
    </row>
    <row r="1072" spans="2:13" ht="12.75">
      <c r="B1072" t="str">
        <f t="shared" si="52"/>
        <v>6650</v>
      </c>
      <c r="C1072" t="s">
        <v>27</v>
      </c>
      <c r="D1072">
        <v>420703</v>
      </c>
      <c r="E1072" t="s">
        <v>51</v>
      </c>
      <c r="F1072">
        <v>310007</v>
      </c>
      <c r="G1072" t="s">
        <v>82</v>
      </c>
      <c r="H1072">
        <v>31</v>
      </c>
      <c r="I1072" t="s">
        <v>26</v>
      </c>
      <c r="J1072">
        <v>1</v>
      </c>
      <c r="K1072" s="4">
        <v>100000</v>
      </c>
      <c r="L1072" s="4">
        <v>100000</v>
      </c>
      <c r="M1072" t="s">
        <v>348</v>
      </c>
    </row>
    <row r="1073" spans="2:12" ht="12.75">
      <c r="B1073" t="str">
        <f t="shared" si="52"/>
        <v>6650</v>
      </c>
      <c r="C1073" t="s">
        <v>27</v>
      </c>
      <c r="D1073">
        <v>420704</v>
      </c>
      <c r="E1073" t="s">
        <v>24</v>
      </c>
      <c r="F1073">
        <v>410002</v>
      </c>
      <c r="G1073" t="s">
        <v>86</v>
      </c>
      <c r="H1073">
        <v>41</v>
      </c>
      <c r="I1073" t="s">
        <v>14</v>
      </c>
      <c r="J1073">
        <v>1</v>
      </c>
      <c r="K1073" s="4">
        <v>525457</v>
      </c>
      <c r="L1073" s="4">
        <v>525457</v>
      </c>
    </row>
    <row r="1074" spans="1:2" ht="12.75">
      <c r="A1074" t="s">
        <v>47</v>
      </c>
      <c r="B1074">
        <f>SUM(L1053:L1073)</f>
        <v>1280403.54</v>
      </c>
    </row>
    <row r="1076" ht="12.75">
      <c r="A1076" t="str">
        <f>"2321 - Fitosanitarna uprava RS, verzija: 1"</f>
        <v>2321 - Fitosanitarna uprava RS, verzija: 1</v>
      </c>
    </row>
    <row r="1077" spans="2:13" ht="12.75">
      <c r="B1077" t="s">
        <v>3</v>
      </c>
      <c r="D1077" t="s">
        <v>4</v>
      </c>
      <c r="F1077" t="s">
        <v>5</v>
      </c>
      <c r="H1077" t="s">
        <v>6</v>
      </c>
      <c r="J1077" t="s">
        <v>7</v>
      </c>
      <c r="K1077" s="4" t="s">
        <v>8</v>
      </c>
      <c r="L1077" s="4" t="s">
        <v>9</v>
      </c>
      <c r="M1077" t="s">
        <v>10</v>
      </c>
    </row>
    <row r="1078" spans="2:12" ht="12.75">
      <c r="B1078" t="str">
        <f>"2272"</f>
        <v>2272</v>
      </c>
      <c r="C1078" t="s">
        <v>27</v>
      </c>
      <c r="D1078">
        <v>420202</v>
      </c>
      <c r="E1078" t="s">
        <v>19</v>
      </c>
      <c r="F1078">
        <v>60004</v>
      </c>
      <c r="G1078" t="s">
        <v>33</v>
      </c>
      <c r="H1078">
        <v>6</v>
      </c>
      <c r="I1078" t="s">
        <v>32</v>
      </c>
      <c r="J1078">
        <v>1</v>
      </c>
      <c r="K1078" s="4">
        <v>9000</v>
      </c>
      <c r="L1078" s="4">
        <v>9000</v>
      </c>
    </row>
    <row r="1079" spans="2:12" ht="12.75">
      <c r="B1079" t="str">
        <f>"2272"</f>
        <v>2272</v>
      </c>
      <c r="C1079" t="s">
        <v>27</v>
      </c>
      <c r="D1079">
        <v>420248</v>
      </c>
      <c r="E1079" t="s">
        <v>36</v>
      </c>
      <c r="F1079">
        <v>120001</v>
      </c>
      <c r="G1079" t="s">
        <v>114</v>
      </c>
      <c r="H1079">
        <v>12</v>
      </c>
      <c r="I1079" t="s">
        <v>38</v>
      </c>
      <c r="J1079">
        <v>1</v>
      </c>
      <c r="K1079" s="4">
        <v>5000</v>
      </c>
      <c r="L1079" s="4">
        <v>5000</v>
      </c>
    </row>
    <row r="1080" spans="2:12" ht="12.75">
      <c r="B1080" t="str">
        <f aca="true" t="shared" si="53" ref="B1080:B1085">"6091"</f>
        <v>6091</v>
      </c>
      <c r="C1080" t="s">
        <v>349</v>
      </c>
      <c r="D1080">
        <v>402007</v>
      </c>
      <c r="E1080" t="s">
        <v>41</v>
      </c>
      <c r="F1080">
        <v>400022</v>
      </c>
      <c r="G1080" t="s">
        <v>142</v>
      </c>
      <c r="H1080">
        <v>40</v>
      </c>
      <c r="I1080" t="s">
        <v>50</v>
      </c>
      <c r="J1080">
        <v>1</v>
      </c>
      <c r="K1080" s="4">
        <v>4900</v>
      </c>
      <c r="L1080" s="4">
        <v>4900</v>
      </c>
    </row>
    <row r="1081" spans="2:12" ht="12.75">
      <c r="B1081" t="str">
        <f t="shared" si="53"/>
        <v>6091</v>
      </c>
      <c r="C1081" t="s">
        <v>349</v>
      </c>
      <c r="D1081">
        <v>402513</v>
      </c>
      <c r="E1081" t="s">
        <v>85</v>
      </c>
      <c r="F1081">
        <v>410001</v>
      </c>
      <c r="G1081" t="s">
        <v>13</v>
      </c>
      <c r="H1081">
        <v>41</v>
      </c>
      <c r="I1081" t="s">
        <v>14</v>
      </c>
      <c r="J1081">
        <v>1</v>
      </c>
      <c r="K1081" s="4">
        <v>24881</v>
      </c>
      <c r="L1081" s="4">
        <v>24881</v>
      </c>
    </row>
    <row r="1082" spans="2:12" ht="12.75">
      <c r="B1082" t="str">
        <f t="shared" si="53"/>
        <v>6091</v>
      </c>
      <c r="C1082" t="s">
        <v>349</v>
      </c>
      <c r="D1082">
        <v>402514</v>
      </c>
      <c r="E1082" t="s">
        <v>45</v>
      </c>
      <c r="F1082">
        <v>310005</v>
      </c>
      <c r="G1082" t="s">
        <v>46</v>
      </c>
      <c r="H1082">
        <v>31</v>
      </c>
      <c r="I1082" t="s">
        <v>26</v>
      </c>
      <c r="J1082">
        <v>1</v>
      </c>
      <c r="K1082" s="4">
        <v>10000</v>
      </c>
      <c r="L1082" s="4">
        <v>10000</v>
      </c>
    </row>
    <row r="1083" spans="2:12" ht="12.75">
      <c r="B1083" t="str">
        <f t="shared" si="53"/>
        <v>6091</v>
      </c>
      <c r="C1083" t="s">
        <v>349</v>
      </c>
      <c r="D1083">
        <v>402941</v>
      </c>
      <c r="E1083" t="s">
        <v>98</v>
      </c>
      <c r="F1083">
        <v>440001</v>
      </c>
      <c r="G1083" t="s">
        <v>192</v>
      </c>
      <c r="H1083">
        <v>44</v>
      </c>
      <c r="I1083" t="s">
        <v>99</v>
      </c>
      <c r="J1083">
        <v>1</v>
      </c>
      <c r="K1083" s="4">
        <v>3259</v>
      </c>
      <c r="L1083" s="4">
        <v>3259</v>
      </c>
    </row>
    <row r="1084" spans="2:12" ht="12.75">
      <c r="B1084" t="str">
        <f t="shared" si="53"/>
        <v>6091</v>
      </c>
      <c r="C1084" t="s">
        <v>349</v>
      </c>
      <c r="D1084">
        <v>420222</v>
      </c>
      <c r="E1084" t="s">
        <v>60</v>
      </c>
      <c r="F1084">
        <v>180006</v>
      </c>
      <c r="G1084" t="s">
        <v>350</v>
      </c>
      <c r="H1084">
        <v>18</v>
      </c>
      <c r="I1084" t="s">
        <v>53</v>
      </c>
      <c r="J1084">
        <v>1</v>
      </c>
      <c r="K1084" s="4">
        <v>5600</v>
      </c>
      <c r="L1084" s="4">
        <v>5600</v>
      </c>
    </row>
    <row r="1085" spans="2:12" ht="12.75">
      <c r="B1085" t="str">
        <f t="shared" si="53"/>
        <v>6091</v>
      </c>
      <c r="C1085" t="s">
        <v>349</v>
      </c>
      <c r="D1085">
        <v>420703</v>
      </c>
      <c r="E1085" t="s">
        <v>51</v>
      </c>
      <c r="F1085">
        <v>410004</v>
      </c>
      <c r="G1085" t="s">
        <v>265</v>
      </c>
      <c r="H1085">
        <v>41</v>
      </c>
      <c r="I1085" t="s">
        <v>14</v>
      </c>
      <c r="J1085">
        <v>1</v>
      </c>
      <c r="K1085" s="4">
        <v>48900</v>
      </c>
      <c r="L1085" s="4">
        <v>48900</v>
      </c>
    </row>
    <row r="1086" spans="1:2" ht="12.75">
      <c r="A1086" t="s">
        <v>47</v>
      </c>
      <c r="B1086">
        <f>SUM(L1078:L1085)</f>
        <v>111540</v>
      </c>
    </row>
    <row r="1088" ht="12.75">
      <c r="A1088" t="str">
        <f>"2411 - Ministrstvo za promet, verzija: 1"</f>
        <v>2411 - Ministrstvo za promet, verzija: 1</v>
      </c>
    </row>
    <row r="1089" spans="2:13" ht="12.75">
      <c r="B1089" t="s">
        <v>3</v>
      </c>
      <c r="D1089" t="s">
        <v>4</v>
      </c>
      <c r="F1089" t="s">
        <v>5</v>
      </c>
      <c r="H1089" t="s">
        <v>6</v>
      </c>
      <c r="J1089" t="s">
        <v>7</v>
      </c>
      <c r="K1089" s="4" t="s">
        <v>8</v>
      </c>
      <c r="L1089" s="4" t="s">
        <v>9</v>
      </c>
      <c r="M1089" t="s">
        <v>10</v>
      </c>
    </row>
    <row r="1090" spans="2:12" ht="12.75">
      <c r="B1090" t="str">
        <f aca="true" t="shared" si="54" ref="B1090:B1101">"2899"</f>
        <v>2899</v>
      </c>
      <c r="C1090" t="s">
        <v>27</v>
      </c>
      <c r="D1090">
        <v>420202</v>
      </c>
      <c r="E1090" t="s">
        <v>19</v>
      </c>
      <c r="F1090">
        <v>10002</v>
      </c>
      <c r="G1090" t="s">
        <v>20</v>
      </c>
      <c r="H1090">
        <v>1</v>
      </c>
      <c r="I1090" t="s">
        <v>21</v>
      </c>
      <c r="J1090">
        <v>60</v>
      </c>
      <c r="K1090" s="4">
        <v>625</v>
      </c>
      <c r="L1090" s="4">
        <v>37500</v>
      </c>
    </row>
    <row r="1091" spans="2:12" ht="12.75">
      <c r="B1091" t="str">
        <f t="shared" si="54"/>
        <v>2899</v>
      </c>
      <c r="C1091" t="s">
        <v>27</v>
      </c>
      <c r="D1091">
        <v>420202</v>
      </c>
      <c r="E1091" t="s">
        <v>19</v>
      </c>
      <c r="F1091">
        <v>10003</v>
      </c>
      <c r="G1091" t="s">
        <v>28</v>
      </c>
      <c r="H1091">
        <v>1</v>
      </c>
      <c r="I1091" t="s">
        <v>21</v>
      </c>
      <c r="J1091">
        <v>25</v>
      </c>
      <c r="K1091" s="4">
        <v>640</v>
      </c>
      <c r="L1091" s="4">
        <v>16000</v>
      </c>
    </row>
    <row r="1092" spans="2:12" ht="12.75">
      <c r="B1092" t="str">
        <f t="shared" si="54"/>
        <v>2899</v>
      </c>
      <c r="C1092" t="s">
        <v>27</v>
      </c>
      <c r="D1092">
        <v>420202</v>
      </c>
      <c r="E1092" t="s">
        <v>19</v>
      </c>
      <c r="F1092">
        <v>20002</v>
      </c>
      <c r="G1092" t="s">
        <v>58</v>
      </c>
      <c r="H1092">
        <v>2</v>
      </c>
      <c r="I1092" t="s">
        <v>30</v>
      </c>
      <c r="J1092">
        <v>10</v>
      </c>
      <c r="K1092" s="4">
        <v>1800</v>
      </c>
      <c r="L1092" s="4">
        <v>18000</v>
      </c>
    </row>
    <row r="1093" spans="2:12" ht="12.75">
      <c r="B1093" t="str">
        <f t="shared" si="54"/>
        <v>2899</v>
      </c>
      <c r="C1093" t="s">
        <v>27</v>
      </c>
      <c r="D1093">
        <v>420202</v>
      </c>
      <c r="E1093" t="s">
        <v>19</v>
      </c>
      <c r="F1093">
        <v>40002</v>
      </c>
      <c r="G1093" t="s">
        <v>22</v>
      </c>
      <c r="H1093">
        <v>4</v>
      </c>
      <c r="I1093" t="s">
        <v>23</v>
      </c>
      <c r="J1093">
        <v>85</v>
      </c>
      <c r="K1093" s="4">
        <v>271</v>
      </c>
      <c r="L1093" s="4">
        <v>23035</v>
      </c>
    </row>
    <row r="1094" spans="2:13" ht="12.75">
      <c r="B1094" t="str">
        <f t="shared" si="54"/>
        <v>2899</v>
      </c>
      <c r="C1094" t="s">
        <v>27</v>
      </c>
      <c r="D1094">
        <v>420238</v>
      </c>
      <c r="E1094" t="s">
        <v>34</v>
      </c>
      <c r="F1094">
        <v>30005</v>
      </c>
      <c r="G1094" t="s">
        <v>25</v>
      </c>
      <c r="H1094">
        <v>3</v>
      </c>
      <c r="I1094" t="s">
        <v>78</v>
      </c>
      <c r="J1094">
        <v>50</v>
      </c>
      <c r="K1094" s="4">
        <v>60</v>
      </c>
      <c r="L1094" s="4">
        <v>3000</v>
      </c>
      <c r="M1094" t="s">
        <v>351</v>
      </c>
    </row>
    <row r="1095" spans="2:12" ht="12.75">
      <c r="B1095" t="str">
        <f t="shared" si="54"/>
        <v>2899</v>
      </c>
      <c r="C1095" t="s">
        <v>27</v>
      </c>
      <c r="D1095">
        <v>420238</v>
      </c>
      <c r="E1095" t="s">
        <v>34</v>
      </c>
      <c r="F1095">
        <v>100001</v>
      </c>
      <c r="G1095" t="s">
        <v>77</v>
      </c>
      <c r="H1095">
        <v>10</v>
      </c>
      <c r="I1095" t="s">
        <v>35</v>
      </c>
      <c r="J1095">
        <v>1</v>
      </c>
      <c r="K1095" s="4">
        <v>500</v>
      </c>
      <c r="L1095" s="4">
        <v>500</v>
      </c>
    </row>
    <row r="1096" spans="2:13" ht="12.75">
      <c r="B1096" t="str">
        <f t="shared" si="54"/>
        <v>2899</v>
      </c>
      <c r="C1096" t="s">
        <v>27</v>
      </c>
      <c r="D1096">
        <v>420238</v>
      </c>
      <c r="E1096" t="s">
        <v>34</v>
      </c>
      <c r="F1096">
        <v>100016</v>
      </c>
      <c r="G1096" t="s">
        <v>25</v>
      </c>
      <c r="H1096">
        <v>10</v>
      </c>
      <c r="I1096" t="s">
        <v>35</v>
      </c>
      <c r="J1096">
        <v>15</v>
      </c>
      <c r="K1096" s="4">
        <v>100</v>
      </c>
      <c r="L1096" s="4">
        <v>1500</v>
      </c>
      <c r="M1096" t="s">
        <v>352</v>
      </c>
    </row>
    <row r="1097" spans="2:13" ht="12.75">
      <c r="B1097" t="str">
        <f t="shared" si="54"/>
        <v>2899</v>
      </c>
      <c r="C1097" t="s">
        <v>27</v>
      </c>
      <c r="D1097">
        <v>420238</v>
      </c>
      <c r="E1097" t="s">
        <v>34</v>
      </c>
      <c r="F1097">
        <v>100016</v>
      </c>
      <c r="G1097" t="s">
        <v>25</v>
      </c>
      <c r="H1097">
        <v>10</v>
      </c>
      <c r="I1097" t="s">
        <v>35</v>
      </c>
      <c r="J1097">
        <v>2</v>
      </c>
      <c r="K1097" s="4">
        <v>600</v>
      </c>
      <c r="L1097" s="4">
        <v>1200</v>
      </c>
      <c r="M1097" t="s">
        <v>353</v>
      </c>
    </row>
    <row r="1098" spans="2:13" ht="12.75">
      <c r="B1098" t="str">
        <f t="shared" si="54"/>
        <v>2899</v>
      </c>
      <c r="C1098" t="s">
        <v>27</v>
      </c>
      <c r="D1098">
        <v>420248</v>
      </c>
      <c r="E1098" t="s">
        <v>36</v>
      </c>
      <c r="F1098">
        <v>60002</v>
      </c>
      <c r="G1098" t="s">
        <v>31</v>
      </c>
      <c r="H1098">
        <v>6</v>
      </c>
      <c r="I1098" t="s">
        <v>32</v>
      </c>
      <c r="J1098">
        <v>7</v>
      </c>
      <c r="K1098" s="4">
        <v>1500</v>
      </c>
      <c r="L1098" s="4">
        <v>10500</v>
      </c>
      <c r="M1098" t="s">
        <v>321</v>
      </c>
    </row>
    <row r="1099" spans="2:12" ht="12.75">
      <c r="B1099" t="str">
        <f t="shared" si="54"/>
        <v>2899</v>
      </c>
      <c r="C1099" t="s">
        <v>27</v>
      </c>
      <c r="D1099">
        <v>420248</v>
      </c>
      <c r="E1099" t="s">
        <v>36</v>
      </c>
      <c r="F1099">
        <v>70003</v>
      </c>
      <c r="G1099" t="s">
        <v>73</v>
      </c>
      <c r="H1099">
        <v>7</v>
      </c>
      <c r="I1099" t="s">
        <v>74</v>
      </c>
      <c r="J1099">
        <v>2</v>
      </c>
      <c r="K1099" s="4">
        <v>1500</v>
      </c>
      <c r="L1099" s="4">
        <v>3000</v>
      </c>
    </row>
    <row r="1100" spans="2:12" ht="12.75">
      <c r="B1100" t="str">
        <f t="shared" si="54"/>
        <v>2899</v>
      </c>
      <c r="C1100" t="s">
        <v>27</v>
      </c>
      <c r="D1100">
        <v>420248</v>
      </c>
      <c r="E1100" t="s">
        <v>36</v>
      </c>
      <c r="F1100">
        <v>230001</v>
      </c>
      <c r="G1100" t="s">
        <v>236</v>
      </c>
      <c r="H1100">
        <v>23</v>
      </c>
      <c r="I1100" t="s">
        <v>143</v>
      </c>
      <c r="J1100">
        <v>2</v>
      </c>
      <c r="K1100" s="4">
        <v>8350</v>
      </c>
      <c r="L1100" s="4">
        <v>16700</v>
      </c>
    </row>
    <row r="1101" spans="2:13" ht="12.75">
      <c r="B1101" t="str">
        <f t="shared" si="54"/>
        <v>2899</v>
      </c>
      <c r="C1101" t="s">
        <v>27</v>
      </c>
      <c r="D1101">
        <v>420704</v>
      </c>
      <c r="E1101" t="s">
        <v>24</v>
      </c>
      <c r="F1101">
        <v>170009</v>
      </c>
      <c r="G1101" t="s">
        <v>25</v>
      </c>
      <c r="H1101">
        <v>17</v>
      </c>
      <c r="I1101" t="s">
        <v>116</v>
      </c>
      <c r="J1101">
        <v>1</v>
      </c>
      <c r="K1101" s="4">
        <v>70000</v>
      </c>
      <c r="L1101" s="4">
        <v>70000</v>
      </c>
      <c r="M1101" s="3" t="s">
        <v>354</v>
      </c>
    </row>
    <row r="1102" spans="2:12" ht="12.75">
      <c r="B1102" t="str">
        <f aca="true" t="shared" si="55" ref="B1102:B1107">"3345"</f>
        <v>3345</v>
      </c>
      <c r="C1102" t="s">
        <v>40</v>
      </c>
      <c r="D1102">
        <v>402007</v>
      </c>
      <c r="E1102" t="s">
        <v>41</v>
      </c>
      <c r="F1102">
        <v>420001</v>
      </c>
      <c r="G1102" t="s">
        <v>185</v>
      </c>
      <c r="H1102">
        <v>42</v>
      </c>
      <c r="I1102" t="s">
        <v>101</v>
      </c>
      <c r="J1102">
        <v>1</v>
      </c>
      <c r="K1102" s="4">
        <v>7000</v>
      </c>
      <c r="L1102" s="4">
        <v>7000</v>
      </c>
    </row>
    <row r="1103" spans="2:12" ht="12.75">
      <c r="B1103" t="str">
        <f t="shared" si="55"/>
        <v>3345</v>
      </c>
      <c r="C1103" t="s">
        <v>40</v>
      </c>
      <c r="D1103">
        <v>402007</v>
      </c>
      <c r="E1103" t="s">
        <v>41</v>
      </c>
      <c r="F1103">
        <v>420002</v>
      </c>
      <c r="G1103" t="s">
        <v>126</v>
      </c>
      <c r="H1103">
        <v>42</v>
      </c>
      <c r="I1103" t="s">
        <v>101</v>
      </c>
      <c r="J1103">
        <v>1</v>
      </c>
      <c r="K1103" s="4">
        <v>14000</v>
      </c>
      <c r="L1103" s="4">
        <v>14000</v>
      </c>
    </row>
    <row r="1104" spans="2:12" ht="12.75">
      <c r="B1104" t="str">
        <f t="shared" si="55"/>
        <v>3345</v>
      </c>
      <c r="C1104" t="s">
        <v>40</v>
      </c>
      <c r="D1104">
        <v>402007</v>
      </c>
      <c r="E1104" t="s">
        <v>41</v>
      </c>
      <c r="F1104">
        <v>440001</v>
      </c>
      <c r="G1104" t="s">
        <v>192</v>
      </c>
      <c r="H1104">
        <v>44</v>
      </c>
      <c r="I1104" t="s">
        <v>99</v>
      </c>
      <c r="J1104">
        <v>1</v>
      </c>
      <c r="K1104" s="4">
        <v>15000</v>
      </c>
      <c r="L1104" s="4">
        <v>15000</v>
      </c>
    </row>
    <row r="1105" spans="2:12" ht="12.75">
      <c r="B1105" t="str">
        <f t="shared" si="55"/>
        <v>3345</v>
      </c>
      <c r="C1105" t="s">
        <v>40</v>
      </c>
      <c r="D1105">
        <v>402514</v>
      </c>
      <c r="E1105" t="s">
        <v>45</v>
      </c>
      <c r="F1105">
        <v>310005</v>
      </c>
      <c r="G1105" t="s">
        <v>46</v>
      </c>
      <c r="H1105">
        <v>31</v>
      </c>
      <c r="I1105" t="s">
        <v>26</v>
      </c>
      <c r="J1105">
        <v>1</v>
      </c>
      <c r="K1105" s="4">
        <v>20000</v>
      </c>
      <c r="L1105" s="4">
        <v>20000</v>
      </c>
    </row>
    <row r="1106" spans="2:12" ht="12.75">
      <c r="B1106" t="str">
        <f t="shared" si="55"/>
        <v>3345</v>
      </c>
      <c r="C1106" t="s">
        <v>40</v>
      </c>
      <c r="D1106">
        <v>402515</v>
      </c>
      <c r="E1106" t="s">
        <v>15</v>
      </c>
      <c r="F1106">
        <v>350001</v>
      </c>
      <c r="G1106" t="s">
        <v>16</v>
      </c>
      <c r="H1106">
        <v>35</v>
      </c>
      <c r="I1106" t="s">
        <v>17</v>
      </c>
      <c r="J1106">
        <v>1</v>
      </c>
      <c r="K1106" s="4">
        <v>35000</v>
      </c>
      <c r="L1106" s="4">
        <v>35000</v>
      </c>
    </row>
    <row r="1107" spans="2:12" ht="12.75">
      <c r="B1107" t="str">
        <f t="shared" si="55"/>
        <v>3345</v>
      </c>
      <c r="C1107" t="s">
        <v>40</v>
      </c>
      <c r="D1107">
        <v>402604</v>
      </c>
      <c r="E1107" t="s">
        <v>97</v>
      </c>
      <c r="F1107">
        <v>20002</v>
      </c>
      <c r="G1107" t="s">
        <v>58</v>
      </c>
      <c r="H1107">
        <v>2</v>
      </c>
      <c r="I1107" t="s">
        <v>30</v>
      </c>
      <c r="J1107">
        <v>1</v>
      </c>
      <c r="K1107" s="4">
        <v>2000</v>
      </c>
      <c r="L1107" s="4">
        <v>2000</v>
      </c>
    </row>
    <row r="1108" spans="2:12" ht="12.75">
      <c r="B1108" t="str">
        <f>"6755"</f>
        <v>6755</v>
      </c>
      <c r="C1108" t="s">
        <v>355</v>
      </c>
      <c r="D1108">
        <v>420202</v>
      </c>
      <c r="E1108" t="s">
        <v>19</v>
      </c>
      <c r="F1108">
        <v>20001</v>
      </c>
      <c r="G1108" t="s">
        <v>29</v>
      </c>
      <c r="H1108">
        <v>2</v>
      </c>
      <c r="I1108" t="s">
        <v>30</v>
      </c>
      <c r="J1108">
        <v>1</v>
      </c>
      <c r="K1108" s="4">
        <v>1300</v>
      </c>
      <c r="L1108" s="4">
        <v>1300</v>
      </c>
    </row>
    <row r="1109" spans="2:12" ht="12.75">
      <c r="B1109" t="str">
        <f>"6755"</f>
        <v>6755</v>
      </c>
      <c r="C1109" t="s">
        <v>355</v>
      </c>
      <c r="D1109">
        <v>420238</v>
      </c>
      <c r="E1109" t="s">
        <v>34</v>
      </c>
      <c r="F1109">
        <v>150001</v>
      </c>
      <c r="G1109" t="s">
        <v>356</v>
      </c>
      <c r="H1109">
        <v>15</v>
      </c>
      <c r="I1109" t="s">
        <v>229</v>
      </c>
      <c r="J1109">
        <v>3</v>
      </c>
      <c r="K1109" s="4">
        <v>2330</v>
      </c>
      <c r="L1109" s="4">
        <v>6990</v>
      </c>
    </row>
    <row r="1110" spans="2:13" ht="12.75">
      <c r="B1110" t="str">
        <f>"6755"</f>
        <v>6755</v>
      </c>
      <c r="C1110" t="s">
        <v>355</v>
      </c>
      <c r="D1110">
        <v>420704</v>
      </c>
      <c r="E1110" t="s">
        <v>24</v>
      </c>
      <c r="F1110">
        <v>100016</v>
      </c>
      <c r="G1110" t="s">
        <v>25</v>
      </c>
      <c r="H1110">
        <v>10</v>
      </c>
      <c r="I1110" t="s">
        <v>35</v>
      </c>
      <c r="J1110">
        <v>1</v>
      </c>
      <c r="K1110" s="4">
        <v>2500</v>
      </c>
      <c r="L1110" s="4">
        <v>2500</v>
      </c>
      <c r="M1110" t="s">
        <v>357</v>
      </c>
    </row>
    <row r="1111" spans="1:2" ht="12.75">
      <c r="A1111" t="s">
        <v>47</v>
      </c>
      <c r="B1111">
        <f>SUM(L1090:L1110)</f>
        <v>304725</v>
      </c>
    </row>
    <row r="1113" ht="12.75">
      <c r="A1113" t="str">
        <f>"2412 - Uprava RS za pomorstvo, verzija: 1"</f>
        <v>2412 - Uprava RS za pomorstvo, verzija: 1</v>
      </c>
    </row>
    <row r="1114" spans="2:13" ht="12.75">
      <c r="B1114" t="s">
        <v>3</v>
      </c>
      <c r="D1114" t="s">
        <v>4</v>
      </c>
      <c r="F1114" t="s">
        <v>5</v>
      </c>
      <c r="H1114" t="s">
        <v>6</v>
      </c>
      <c r="J1114" t="s">
        <v>7</v>
      </c>
      <c r="K1114" s="4" t="s">
        <v>8</v>
      </c>
      <c r="L1114" s="4" t="s">
        <v>9</v>
      </c>
      <c r="M1114" t="s">
        <v>10</v>
      </c>
    </row>
    <row r="1115" spans="2:12" ht="12.75">
      <c r="B1115" t="str">
        <f aca="true" t="shared" si="56" ref="B1115:B1130">"2900"</f>
        <v>2900</v>
      </c>
      <c r="C1115" t="s">
        <v>27</v>
      </c>
      <c r="D1115">
        <v>420202</v>
      </c>
      <c r="E1115" t="s">
        <v>19</v>
      </c>
      <c r="F1115">
        <v>10002</v>
      </c>
      <c r="G1115" t="s">
        <v>20</v>
      </c>
      <c r="H1115">
        <v>1</v>
      </c>
      <c r="I1115" t="s">
        <v>21</v>
      </c>
      <c r="J1115">
        <v>6</v>
      </c>
      <c r="K1115" s="4">
        <v>500</v>
      </c>
      <c r="L1115" s="4">
        <v>3000</v>
      </c>
    </row>
    <row r="1116" spans="2:12" ht="12.75">
      <c r="B1116" t="str">
        <f t="shared" si="56"/>
        <v>2900</v>
      </c>
      <c r="C1116" t="s">
        <v>27</v>
      </c>
      <c r="D1116">
        <v>420202</v>
      </c>
      <c r="E1116" t="s">
        <v>19</v>
      </c>
      <c r="F1116">
        <v>40001</v>
      </c>
      <c r="G1116" t="s">
        <v>59</v>
      </c>
      <c r="H1116">
        <v>4</v>
      </c>
      <c r="I1116" t="s">
        <v>23</v>
      </c>
      <c r="J1116">
        <v>4</v>
      </c>
      <c r="K1116" s="4">
        <v>300</v>
      </c>
      <c r="L1116" s="4">
        <v>1200</v>
      </c>
    </row>
    <row r="1117" spans="2:12" ht="12.75">
      <c r="B1117" t="str">
        <f t="shared" si="56"/>
        <v>2900</v>
      </c>
      <c r="C1117" t="s">
        <v>27</v>
      </c>
      <c r="D1117">
        <v>420202</v>
      </c>
      <c r="E1117" t="s">
        <v>19</v>
      </c>
      <c r="F1117">
        <v>40002</v>
      </c>
      <c r="G1117" t="s">
        <v>22</v>
      </c>
      <c r="H1117">
        <v>4</v>
      </c>
      <c r="I1117" t="s">
        <v>23</v>
      </c>
      <c r="J1117">
        <v>2</v>
      </c>
      <c r="K1117" s="4">
        <v>400</v>
      </c>
      <c r="L1117" s="4">
        <v>800</v>
      </c>
    </row>
    <row r="1118" spans="2:12" ht="12.75">
      <c r="B1118" t="str">
        <f t="shared" si="56"/>
        <v>2900</v>
      </c>
      <c r="C1118" t="s">
        <v>27</v>
      </c>
      <c r="D1118">
        <v>420202</v>
      </c>
      <c r="E1118" t="s">
        <v>19</v>
      </c>
      <c r="F1118">
        <v>60001</v>
      </c>
      <c r="G1118" t="s">
        <v>358</v>
      </c>
      <c r="H1118">
        <v>6</v>
      </c>
      <c r="I1118" t="s">
        <v>32</v>
      </c>
      <c r="J1118">
        <v>2</v>
      </c>
      <c r="K1118" s="4">
        <v>800</v>
      </c>
      <c r="L1118" s="4">
        <v>1600</v>
      </c>
    </row>
    <row r="1119" spans="2:12" ht="12.75">
      <c r="B1119" t="str">
        <f t="shared" si="56"/>
        <v>2900</v>
      </c>
      <c r="C1119" t="s">
        <v>27</v>
      </c>
      <c r="D1119">
        <v>420202</v>
      </c>
      <c r="E1119" t="s">
        <v>19</v>
      </c>
      <c r="F1119">
        <v>60005</v>
      </c>
      <c r="G1119" t="s">
        <v>25</v>
      </c>
      <c r="H1119">
        <v>6</v>
      </c>
      <c r="I1119" t="s">
        <v>32</v>
      </c>
      <c r="J1119">
        <v>2</v>
      </c>
      <c r="K1119" s="4">
        <v>150</v>
      </c>
      <c r="L1119" s="4">
        <v>300</v>
      </c>
    </row>
    <row r="1120" spans="2:12" ht="12.75">
      <c r="B1120" t="str">
        <f t="shared" si="56"/>
        <v>2900</v>
      </c>
      <c r="C1120" t="s">
        <v>27</v>
      </c>
      <c r="D1120">
        <v>420202</v>
      </c>
      <c r="E1120" t="s">
        <v>19</v>
      </c>
      <c r="F1120">
        <v>70003</v>
      </c>
      <c r="G1120" t="s">
        <v>73</v>
      </c>
      <c r="H1120">
        <v>7</v>
      </c>
      <c r="I1120" t="s">
        <v>74</v>
      </c>
      <c r="J1120">
        <v>1</v>
      </c>
      <c r="K1120" s="4">
        <v>800</v>
      </c>
      <c r="L1120" s="4">
        <v>800</v>
      </c>
    </row>
    <row r="1121" spans="2:12" ht="12.75">
      <c r="B1121" t="str">
        <f t="shared" si="56"/>
        <v>2900</v>
      </c>
      <c r="C1121" t="s">
        <v>27</v>
      </c>
      <c r="D1121">
        <v>420222</v>
      </c>
      <c r="E1121" t="s">
        <v>60</v>
      </c>
      <c r="F1121">
        <v>200012</v>
      </c>
      <c r="G1121" t="s">
        <v>359</v>
      </c>
      <c r="H1121">
        <v>20</v>
      </c>
      <c r="I1121" t="s">
        <v>146</v>
      </c>
      <c r="J1121">
        <v>1</v>
      </c>
      <c r="K1121" s="4">
        <v>6650</v>
      </c>
      <c r="L1121" s="4">
        <v>6650</v>
      </c>
    </row>
    <row r="1122" spans="2:12" ht="12.75">
      <c r="B1122" t="str">
        <f t="shared" si="56"/>
        <v>2900</v>
      </c>
      <c r="C1122" t="s">
        <v>27</v>
      </c>
      <c r="D1122">
        <v>420222</v>
      </c>
      <c r="E1122" t="s">
        <v>60</v>
      </c>
      <c r="F1122">
        <v>210001</v>
      </c>
      <c r="G1122" t="s">
        <v>360</v>
      </c>
      <c r="H1122">
        <v>21</v>
      </c>
      <c r="I1122" t="s">
        <v>200</v>
      </c>
      <c r="J1122">
        <v>1</v>
      </c>
      <c r="K1122" s="4">
        <v>3325</v>
      </c>
      <c r="L1122" s="4">
        <v>3325</v>
      </c>
    </row>
    <row r="1123" spans="2:12" ht="12.75">
      <c r="B1123" t="str">
        <f t="shared" si="56"/>
        <v>2900</v>
      </c>
      <c r="C1123" t="s">
        <v>27</v>
      </c>
      <c r="D1123">
        <v>420222</v>
      </c>
      <c r="E1123" t="s">
        <v>60</v>
      </c>
      <c r="F1123">
        <v>230001</v>
      </c>
      <c r="G1123" t="s">
        <v>236</v>
      </c>
      <c r="H1123">
        <v>23</v>
      </c>
      <c r="I1123" t="s">
        <v>143</v>
      </c>
      <c r="J1123">
        <v>1</v>
      </c>
      <c r="K1123" s="4">
        <v>3325</v>
      </c>
      <c r="L1123" s="4">
        <v>3325</v>
      </c>
    </row>
    <row r="1124" spans="2:12" ht="12.75">
      <c r="B1124" t="str">
        <f t="shared" si="56"/>
        <v>2900</v>
      </c>
      <c r="C1124" t="s">
        <v>27</v>
      </c>
      <c r="D1124">
        <v>420248</v>
      </c>
      <c r="E1124" t="s">
        <v>36</v>
      </c>
      <c r="F1124">
        <v>120001</v>
      </c>
      <c r="G1124" t="s">
        <v>114</v>
      </c>
      <c r="H1124">
        <v>12</v>
      </c>
      <c r="I1124" t="s">
        <v>38</v>
      </c>
      <c r="J1124">
        <v>2</v>
      </c>
      <c r="K1124" s="4">
        <v>750</v>
      </c>
      <c r="L1124" s="4">
        <v>1500</v>
      </c>
    </row>
    <row r="1125" spans="2:12" ht="12.75">
      <c r="B1125" t="str">
        <f t="shared" si="56"/>
        <v>2900</v>
      </c>
      <c r="C1125" t="s">
        <v>27</v>
      </c>
      <c r="D1125">
        <v>420248</v>
      </c>
      <c r="E1125" t="s">
        <v>36</v>
      </c>
      <c r="F1125">
        <v>160002</v>
      </c>
      <c r="G1125" t="s">
        <v>361</v>
      </c>
      <c r="H1125">
        <v>16</v>
      </c>
      <c r="I1125" t="s">
        <v>71</v>
      </c>
      <c r="J1125">
        <v>1</v>
      </c>
      <c r="K1125" s="4">
        <v>500</v>
      </c>
      <c r="L1125" s="4">
        <v>500</v>
      </c>
    </row>
    <row r="1126" spans="2:12" ht="12.75">
      <c r="B1126" t="str">
        <f t="shared" si="56"/>
        <v>2900</v>
      </c>
      <c r="C1126" t="s">
        <v>27</v>
      </c>
      <c r="D1126">
        <v>420703</v>
      </c>
      <c r="E1126" t="s">
        <v>51</v>
      </c>
      <c r="F1126">
        <v>310001</v>
      </c>
      <c r="G1126" t="s">
        <v>175</v>
      </c>
      <c r="H1126">
        <v>31</v>
      </c>
      <c r="I1126" t="s">
        <v>26</v>
      </c>
      <c r="J1126">
        <v>1</v>
      </c>
      <c r="K1126" s="4">
        <v>8000</v>
      </c>
      <c r="L1126" s="4">
        <v>8000</v>
      </c>
    </row>
    <row r="1127" spans="2:12" ht="12.75">
      <c r="B1127" t="str">
        <f t="shared" si="56"/>
        <v>2900</v>
      </c>
      <c r="C1127" t="s">
        <v>27</v>
      </c>
      <c r="D1127">
        <v>420703</v>
      </c>
      <c r="E1127" t="s">
        <v>51</v>
      </c>
      <c r="F1127">
        <v>310001</v>
      </c>
      <c r="G1127" t="s">
        <v>175</v>
      </c>
      <c r="H1127">
        <v>31</v>
      </c>
      <c r="I1127" t="s">
        <v>26</v>
      </c>
      <c r="J1127">
        <v>1</v>
      </c>
      <c r="K1127" s="4">
        <v>5300</v>
      </c>
      <c r="L1127" s="4">
        <v>5300</v>
      </c>
    </row>
    <row r="1128" spans="2:12" ht="12.75">
      <c r="B1128" t="str">
        <f t="shared" si="56"/>
        <v>2900</v>
      </c>
      <c r="C1128" t="s">
        <v>27</v>
      </c>
      <c r="D1128">
        <v>420703</v>
      </c>
      <c r="E1128" t="s">
        <v>51</v>
      </c>
      <c r="F1128">
        <v>310005</v>
      </c>
      <c r="G1128" t="s">
        <v>46</v>
      </c>
      <c r="H1128">
        <v>31</v>
      </c>
      <c r="I1128" t="s">
        <v>26</v>
      </c>
      <c r="J1128">
        <v>1</v>
      </c>
      <c r="K1128" s="4">
        <v>7000</v>
      </c>
      <c r="L1128" s="4">
        <v>7000</v>
      </c>
    </row>
    <row r="1129" spans="2:12" ht="12.75">
      <c r="B1129" t="str">
        <f t="shared" si="56"/>
        <v>2900</v>
      </c>
      <c r="C1129" t="s">
        <v>27</v>
      </c>
      <c r="D1129">
        <v>420703</v>
      </c>
      <c r="E1129" t="s">
        <v>51</v>
      </c>
      <c r="F1129">
        <v>310005</v>
      </c>
      <c r="G1129" t="s">
        <v>46</v>
      </c>
      <c r="H1129">
        <v>31</v>
      </c>
      <c r="I1129" t="s">
        <v>26</v>
      </c>
      <c r="J1129">
        <v>1</v>
      </c>
      <c r="K1129" s="4">
        <v>8700</v>
      </c>
      <c r="L1129" s="4">
        <v>8700</v>
      </c>
    </row>
    <row r="1130" spans="2:12" ht="12.75">
      <c r="B1130" t="str">
        <f t="shared" si="56"/>
        <v>2900</v>
      </c>
      <c r="C1130" t="s">
        <v>27</v>
      </c>
      <c r="D1130">
        <v>420703</v>
      </c>
      <c r="E1130" t="s">
        <v>51</v>
      </c>
      <c r="F1130">
        <v>310005</v>
      </c>
      <c r="G1130" t="s">
        <v>46</v>
      </c>
      <c r="H1130">
        <v>31</v>
      </c>
      <c r="I1130" t="s">
        <v>26</v>
      </c>
      <c r="J1130">
        <v>1</v>
      </c>
      <c r="K1130" s="4">
        <v>5000</v>
      </c>
      <c r="L1130" s="4">
        <v>5000</v>
      </c>
    </row>
    <row r="1131" spans="2:12" ht="12.75">
      <c r="B1131" t="str">
        <f>"3363"</f>
        <v>3363</v>
      </c>
      <c r="C1131" t="s">
        <v>40</v>
      </c>
      <c r="D1131">
        <v>402007</v>
      </c>
      <c r="E1131" t="s">
        <v>41</v>
      </c>
      <c r="F1131">
        <v>420004</v>
      </c>
      <c r="G1131" t="s">
        <v>25</v>
      </c>
      <c r="H1131">
        <v>42</v>
      </c>
      <c r="I1131" t="s">
        <v>101</v>
      </c>
      <c r="J1131">
        <v>1</v>
      </c>
      <c r="K1131" s="4">
        <v>1200</v>
      </c>
      <c r="L1131" s="4">
        <v>1200</v>
      </c>
    </row>
    <row r="1132" spans="2:12" ht="12.75">
      <c r="B1132" t="str">
        <f>"3363"</f>
        <v>3363</v>
      </c>
      <c r="C1132" t="s">
        <v>40</v>
      </c>
      <c r="D1132">
        <v>402510</v>
      </c>
      <c r="E1132" t="s">
        <v>12</v>
      </c>
      <c r="F1132">
        <v>350011</v>
      </c>
      <c r="G1132" t="s">
        <v>25</v>
      </c>
      <c r="H1132">
        <v>35</v>
      </c>
      <c r="I1132" t="s">
        <v>17</v>
      </c>
      <c r="J1132">
        <v>1</v>
      </c>
      <c r="K1132" s="4">
        <v>2500</v>
      </c>
      <c r="L1132" s="4">
        <v>2500</v>
      </c>
    </row>
    <row r="1133" spans="2:12" ht="12.75">
      <c r="B1133" t="str">
        <f>"3363"</f>
        <v>3363</v>
      </c>
      <c r="C1133" t="s">
        <v>40</v>
      </c>
      <c r="D1133">
        <v>402514</v>
      </c>
      <c r="E1133" t="s">
        <v>45</v>
      </c>
      <c r="F1133">
        <v>410007</v>
      </c>
      <c r="G1133" t="s">
        <v>25</v>
      </c>
      <c r="H1133">
        <v>41</v>
      </c>
      <c r="I1133" t="s">
        <v>14</v>
      </c>
      <c r="J1133">
        <v>1</v>
      </c>
      <c r="K1133" s="4">
        <v>5000</v>
      </c>
      <c r="L1133" s="4">
        <v>5000</v>
      </c>
    </row>
    <row r="1134" spans="2:12" ht="12.75">
      <c r="B1134" t="str">
        <f>"3363"</f>
        <v>3363</v>
      </c>
      <c r="C1134" t="s">
        <v>40</v>
      </c>
      <c r="D1134">
        <v>402515</v>
      </c>
      <c r="E1134" t="s">
        <v>15</v>
      </c>
      <c r="F1134">
        <v>400024</v>
      </c>
      <c r="G1134" t="s">
        <v>25</v>
      </c>
      <c r="H1134">
        <v>40</v>
      </c>
      <c r="I1134" t="s">
        <v>50</v>
      </c>
      <c r="J1134">
        <v>1</v>
      </c>
      <c r="K1134" s="4">
        <v>5000</v>
      </c>
      <c r="L1134" s="4">
        <v>5000</v>
      </c>
    </row>
    <row r="1135" spans="2:12" ht="12.75">
      <c r="B1135" t="str">
        <f>"3830"</f>
        <v>3830</v>
      </c>
      <c r="C1135" t="s">
        <v>362</v>
      </c>
      <c r="D1135">
        <v>420703</v>
      </c>
      <c r="E1135" t="s">
        <v>51</v>
      </c>
      <c r="F1135">
        <v>310001</v>
      </c>
      <c r="G1135" t="s">
        <v>175</v>
      </c>
      <c r="H1135">
        <v>31</v>
      </c>
      <c r="I1135" t="s">
        <v>26</v>
      </c>
      <c r="J1135">
        <v>1</v>
      </c>
      <c r="K1135" s="4">
        <v>249630</v>
      </c>
      <c r="L1135" s="4">
        <v>249630</v>
      </c>
    </row>
    <row r="1136" spans="2:12" ht="12.75">
      <c r="B1136" t="str">
        <f>"3830"</f>
        <v>3830</v>
      </c>
      <c r="C1136" t="s">
        <v>362</v>
      </c>
      <c r="D1136">
        <v>420806</v>
      </c>
      <c r="E1136" t="s">
        <v>122</v>
      </c>
      <c r="F1136">
        <v>360013</v>
      </c>
      <c r="G1136" t="s">
        <v>363</v>
      </c>
      <c r="H1136">
        <v>36</v>
      </c>
      <c r="I1136" t="s">
        <v>124</v>
      </c>
      <c r="J1136">
        <v>1</v>
      </c>
      <c r="K1136" s="4">
        <v>19500</v>
      </c>
      <c r="L1136" s="4">
        <v>19500</v>
      </c>
    </row>
    <row r="1137" spans="2:12" ht="12.75">
      <c r="B1137" t="str">
        <f>"5556"</f>
        <v>5556</v>
      </c>
      <c r="C1137" t="s">
        <v>364</v>
      </c>
      <c r="D1137">
        <v>402007</v>
      </c>
      <c r="E1137" t="s">
        <v>41</v>
      </c>
      <c r="F1137">
        <v>420004</v>
      </c>
      <c r="G1137" t="s">
        <v>25</v>
      </c>
      <c r="H1137">
        <v>42</v>
      </c>
      <c r="I1137" t="s">
        <v>101</v>
      </c>
      <c r="J1137">
        <v>1</v>
      </c>
      <c r="K1137" s="4">
        <v>2000</v>
      </c>
      <c r="L1137" s="4">
        <v>2000</v>
      </c>
    </row>
    <row r="1138" spans="2:12" ht="12.75">
      <c r="B1138" t="str">
        <f>"5556"</f>
        <v>5556</v>
      </c>
      <c r="C1138" t="s">
        <v>364</v>
      </c>
      <c r="D1138">
        <v>402510</v>
      </c>
      <c r="E1138" t="s">
        <v>12</v>
      </c>
      <c r="F1138">
        <v>350011</v>
      </c>
      <c r="G1138" t="s">
        <v>25</v>
      </c>
      <c r="H1138">
        <v>35</v>
      </c>
      <c r="I1138" t="s">
        <v>17</v>
      </c>
      <c r="J1138">
        <v>1</v>
      </c>
      <c r="K1138" s="4">
        <v>2000</v>
      </c>
      <c r="L1138" s="4">
        <v>2000</v>
      </c>
    </row>
    <row r="1139" spans="2:12" ht="12.75">
      <c r="B1139" t="str">
        <f>"5556"</f>
        <v>5556</v>
      </c>
      <c r="C1139" t="s">
        <v>364</v>
      </c>
      <c r="D1139">
        <v>402514</v>
      </c>
      <c r="E1139" t="s">
        <v>45</v>
      </c>
      <c r="F1139">
        <v>410007</v>
      </c>
      <c r="G1139" t="s">
        <v>25</v>
      </c>
      <c r="H1139">
        <v>41</v>
      </c>
      <c r="I1139" t="s">
        <v>14</v>
      </c>
      <c r="J1139">
        <v>1</v>
      </c>
      <c r="K1139" s="4">
        <v>16000</v>
      </c>
      <c r="L1139" s="4">
        <v>16000</v>
      </c>
    </row>
    <row r="1140" spans="2:12" ht="12.75">
      <c r="B1140" t="str">
        <f>"8399"</f>
        <v>8399</v>
      </c>
      <c r="C1140" t="s">
        <v>365</v>
      </c>
      <c r="D1140">
        <v>420238</v>
      </c>
      <c r="E1140" t="s">
        <v>34</v>
      </c>
      <c r="F1140">
        <v>140007</v>
      </c>
      <c r="G1140" t="s">
        <v>25</v>
      </c>
      <c r="H1140">
        <v>14</v>
      </c>
      <c r="I1140" t="s">
        <v>64</v>
      </c>
      <c r="J1140">
        <v>1</v>
      </c>
      <c r="K1140" s="4">
        <v>3672</v>
      </c>
      <c r="L1140" s="4">
        <v>3672</v>
      </c>
    </row>
    <row r="1141" spans="2:12" ht="12.75">
      <c r="B1141" t="str">
        <f>"8620"</f>
        <v>8620</v>
      </c>
      <c r="C1141" t="s">
        <v>366</v>
      </c>
      <c r="D1141">
        <v>420238</v>
      </c>
      <c r="E1141" t="s">
        <v>34</v>
      </c>
      <c r="F1141">
        <v>140007</v>
      </c>
      <c r="G1141" t="s">
        <v>25</v>
      </c>
      <c r="H1141">
        <v>14</v>
      </c>
      <c r="I1141" t="s">
        <v>64</v>
      </c>
      <c r="J1141">
        <v>1</v>
      </c>
      <c r="K1141" s="4">
        <v>3300</v>
      </c>
      <c r="L1141" s="4">
        <v>3300</v>
      </c>
    </row>
    <row r="1142" spans="2:12" ht="12.75">
      <c r="B1142" t="str">
        <f>"8620"</f>
        <v>8620</v>
      </c>
      <c r="C1142" t="s">
        <v>366</v>
      </c>
      <c r="D1142">
        <v>420238</v>
      </c>
      <c r="E1142" t="s">
        <v>34</v>
      </c>
      <c r="F1142">
        <v>140007</v>
      </c>
      <c r="G1142" t="s">
        <v>25</v>
      </c>
      <c r="H1142">
        <v>14</v>
      </c>
      <c r="I1142" t="s">
        <v>64</v>
      </c>
      <c r="J1142">
        <v>2</v>
      </c>
      <c r="K1142" s="4">
        <v>867</v>
      </c>
      <c r="L1142" s="4">
        <v>1734</v>
      </c>
    </row>
    <row r="1143" spans="2:12" ht="12.75">
      <c r="B1143" t="str">
        <f>"8620"</f>
        <v>8620</v>
      </c>
      <c r="C1143" t="s">
        <v>366</v>
      </c>
      <c r="D1143">
        <v>420238</v>
      </c>
      <c r="E1143" t="s">
        <v>34</v>
      </c>
      <c r="F1143">
        <v>140007</v>
      </c>
      <c r="G1143" t="s">
        <v>25</v>
      </c>
      <c r="H1143">
        <v>14</v>
      </c>
      <c r="I1143" t="s">
        <v>64</v>
      </c>
      <c r="J1143">
        <v>1</v>
      </c>
      <c r="K1143" s="4">
        <v>866</v>
      </c>
      <c r="L1143" s="4">
        <v>866</v>
      </c>
    </row>
    <row r="1144" spans="1:2" ht="12.75">
      <c r="A1144" t="s">
        <v>47</v>
      </c>
      <c r="B1144">
        <f>SUM(L1115:L1143)</f>
        <v>369402</v>
      </c>
    </row>
    <row r="1146" ht="12.75">
      <c r="A1146" t="str">
        <f>"2415 - Direkcija RS za ceste, verzija: 1"</f>
        <v>2415 - Direkcija RS za ceste, verzija: 1</v>
      </c>
    </row>
    <row r="1147" spans="2:13" ht="12.75">
      <c r="B1147" t="s">
        <v>3</v>
      </c>
      <c r="D1147" t="s">
        <v>4</v>
      </c>
      <c r="F1147" t="s">
        <v>5</v>
      </c>
      <c r="H1147" t="s">
        <v>6</v>
      </c>
      <c r="J1147" t="s">
        <v>7</v>
      </c>
      <c r="K1147" s="4" t="s">
        <v>8</v>
      </c>
      <c r="L1147" s="4" t="s">
        <v>9</v>
      </c>
      <c r="M1147" t="s">
        <v>10</v>
      </c>
    </row>
    <row r="1148" spans="2:12" ht="12.75">
      <c r="B1148" t="str">
        <f aca="true" t="shared" si="57" ref="B1148:B1159">"4038"</f>
        <v>4038</v>
      </c>
      <c r="C1148" t="s">
        <v>367</v>
      </c>
      <c r="D1148">
        <v>402510</v>
      </c>
      <c r="E1148" t="s">
        <v>12</v>
      </c>
      <c r="F1148">
        <v>350003</v>
      </c>
      <c r="G1148" t="s">
        <v>44</v>
      </c>
      <c r="H1148">
        <v>35</v>
      </c>
      <c r="I1148" t="s">
        <v>17</v>
      </c>
      <c r="J1148">
        <v>1</v>
      </c>
      <c r="K1148" s="4">
        <v>29212</v>
      </c>
      <c r="L1148" s="4">
        <v>29212</v>
      </c>
    </row>
    <row r="1149" spans="2:12" ht="12.75">
      <c r="B1149" t="str">
        <f t="shared" si="57"/>
        <v>4038</v>
      </c>
      <c r="C1149" t="s">
        <v>367</v>
      </c>
      <c r="D1149">
        <v>402513</v>
      </c>
      <c r="E1149" t="s">
        <v>85</v>
      </c>
      <c r="F1149">
        <v>420002</v>
      </c>
      <c r="G1149" t="s">
        <v>126</v>
      </c>
      <c r="H1149">
        <v>42</v>
      </c>
      <c r="I1149" t="s">
        <v>101</v>
      </c>
      <c r="J1149">
        <v>1</v>
      </c>
      <c r="K1149" s="4">
        <v>33383</v>
      </c>
      <c r="L1149" s="4">
        <v>33383</v>
      </c>
    </row>
    <row r="1150" spans="2:12" ht="12.75">
      <c r="B1150" t="str">
        <f t="shared" si="57"/>
        <v>4038</v>
      </c>
      <c r="C1150" t="s">
        <v>367</v>
      </c>
      <c r="D1150">
        <v>402514</v>
      </c>
      <c r="E1150" t="s">
        <v>45</v>
      </c>
      <c r="F1150">
        <v>260006</v>
      </c>
      <c r="G1150" t="s">
        <v>315</v>
      </c>
      <c r="H1150">
        <v>26</v>
      </c>
      <c r="I1150" t="s">
        <v>69</v>
      </c>
      <c r="J1150">
        <v>2</v>
      </c>
      <c r="K1150" s="4">
        <v>14605</v>
      </c>
      <c r="L1150" s="4">
        <v>29210</v>
      </c>
    </row>
    <row r="1151" spans="2:12" ht="12.75">
      <c r="B1151" t="str">
        <f t="shared" si="57"/>
        <v>4038</v>
      </c>
      <c r="C1151" t="s">
        <v>367</v>
      </c>
      <c r="D1151">
        <v>402514</v>
      </c>
      <c r="E1151" t="s">
        <v>45</v>
      </c>
      <c r="F1151">
        <v>310007</v>
      </c>
      <c r="G1151" t="s">
        <v>82</v>
      </c>
      <c r="H1151">
        <v>31</v>
      </c>
      <c r="I1151" t="s">
        <v>26</v>
      </c>
      <c r="J1151">
        <v>200</v>
      </c>
      <c r="K1151" s="4">
        <v>250.37</v>
      </c>
      <c r="L1151" s="4">
        <v>50074</v>
      </c>
    </row>
    <row r="1152" spans="2:12" ht="12.75">
      <c r="B1152" t="str">
        <f t="shared" si="57"/>
        <v>4038</v>
      </c>
      <c r="C1152" t="s">
        <v>367</v>
      </c>
      <c r="D1152">
        <v>402515</v>
      </c>
      <c r="E1152" t="s">
        <v>15</v>
      </c>
      <c r="F1152">
        <v>350001</v>
      </c>
      <c r="G1152" t="s">
        <v>16</v>
      </c>
      <c r="H1152">
        <v>35</v>
      </c>
      <c r="I1152" t="s">
        <v>17</v>
      </c>
      <c r="J1152">
        <v>1</v>
      </c>
      <c r="K1152" s="4">
        <v>54248</v>
      </c>
      <c r="L1152" s="4">
        <v>54248</v>
      </c>
    </row>
    <row r="1153" spans="2:12" ht="12.75">
      <c r="B1153" t="str">
        <f t="shared" si="57"/>
        <v>4038</v>
      </c>
      <c r="C1153" t="s">
        <v>367</v>
      </c>
      <c r="D1153">
        <v>402516</v>
      </c>
      <c r="E1153" t="s">
        <v>109</v>
      </c>
      <c r="F1153">
        <v>350010</v>
      </c>
      <c r="G1153" t="s">
        <v>173</v>
      </c>
      <c r="H1153">
        <v>35</v>
      </c>
      <c r="I1153" t="s">
        <v>17</v>
      </c>
      <c r="J1153">
        <v>1</v>
      </c>
      <c r="K1153" s="4">
        <v>12518</v>
      </c>
      <c r="L1153" s="4">
        <v>12518</v>
      </c>
    </row>
    <row r="1154" spans="2:12" ht="12.75">
      <c r="B1154" t="str">
        <f t="shared" si="57"/>
        <v>4038</v>
      </c>
      <c r="C1154" t="s">
        <v>367</v>
      </c>
      <c r="D1154">
        <v>420202</v>
      </c>
      <c r="E1154" t="s">
        <v>19</v>
      </c>
      <c r="F1154">
        <v>310006</v>
      </c>
      <c r="G1154" t="s">
        <v>204</v>
      </c>
      <c r="H1154">
        <v>31</v>
      </c>
      <c r="I1154" t="s">
        <v>26</v>
      </c>
      <c r="J1154">
        <v>10</v>
      </c>
      <c r="K1154" s="4">
        <v>5424.8</v>
      </c>
      <c r="L1154" s="4">
        <v>54248</v>
      </c>
    </row>
    <row r="1155" spans="2:12" ht="12.75">
      <c r="B1155" t="str">
        <f t="shared" si="57"/>
        <v>4038</v>
      </c>
      <c r="C1155" t="s">
        <v>367</v>
      </c>
      <c r="D1155">
        <v>420222</v>
      </c>
      <c r="E1155" t="s">
        <v>60</v>
      </c>
      <c r="F1155">
        <v>230001</v>
      </c>
      <c r="G1155" t="s">
        <v>236</v>
      </c>
      <c r="H1155">
        <v>23</v>
      </c>
      <c r="I1155" t="s">
        <v>143</v>
      </c>
      <c r="J1155">
        <v>1</v>
      </c>
      <c r="K1155" s="4">
        <v>25000</v>
      </c>
      <c r="L1155" s="4">
        <v>25000</v>
      </c>
    </row>
    <row r="1156" spans="2:12" ht="12.75">
      <c r="B1156" t="str">
        <f t="shared" si="57"/>
        <v>4038</v>
      </c>
      <c r="C1156" t="s">
        <v>367</v>
      </c>
      <c r="D1156">
        <v>420248</v>
      </c>
      <c r="E1156" t="s">
        <v>36</v>
      </c>
      <c r="F1156">
        <v>10002</v>
      </c>
      <c r="G1156" t="s">
        <v>20</v>
      </c>
      <c r="H1156">
        <v>1</v>
      </c>
      <c r="I1156" t="s">
        <v>21</v>
      </c>
      <c r="J1156">
        <v>40</v>
      </c>
      <c r="K1156" s="4">
        <v>750</v>
      </c>
      <c r="L1156" s="4">
        <v>30000</v>
      </c>
    </row>
    <row r="1157" spans="2:12" ht="12.75">
      <c r="B1157" t="str">
        <f t="shared" si="57"/>
        <v>4038</v>
      </c>
      <c r="C1157" t="s">
        <v>367</v>
      </c>
      <c r="D1157">
        <v>420248</v>
      </c>
      <c r="E1157" t="s">
        <v>36</v>
      </c>
      <c r="F1157">
        <v>10003</v>
      </c>
      <c r="G1157" t="s">
        <v>28</v>
      </c>
      <c r="H1157">
        <v>1</v>
      </c>
      <c r="I1157" t="s">
        <v>21</v>
      </c>
      <c r="J1157">
        <v>20</v>
      </c>
      <c r="K1157" s="4">
        <v>2503.8</v>
      </c>
      <c r="L1157" s="4">
        <v>50076</v>
      </c>
    </row>
    <row r="1158" spans="2:12" ht="12.75">
      <c r="B1158" t="str">
        <f t="shared" si="57"/>
        <v>4038</v>
      </c>
      <c r="C1158" t="s">
        <v>367</v>
      </c>
      <c r="D1158">
        <v>420248</v>
      </c>
      <c r="E1158" t="s">
        <v>36</v>
      </c>
      <c r="F1158">
        <v>40001</v>
      </c>
      <c r="G1158" t="s">
        <v>59</v>
      </c>
      <c r="H1158">
        <v>4</v>
      </c>
      <c r="I1158" t="s">
        <v>23</v>
      </c>
      <c r="J1158">
        <v>40</v>
      </c>
      <c r="K1158" s="4">
        <v>400</v>
      </c>
      <c r="L1158" s="4">
        <v>16000</v>
      </c>
    </row>
    <row r="1159" spans="2:12" ht="12.75">
      <c r="B1159" t="str">
        <f t="shared" si="57"/>
        <v>4038</v>
      </c>
      <c r="C1159" t="s">
        <v>367</v>
      </c>
      <c r="D1159">
        <v>420703</v>
      </c>
      <c r="E1159" t="s">
        <v>51</v>
      </c>
      <c r="F1159">
        <v>310007</v>
      </c>
      <c r="G1159" t="s">
        <v>82</v>
      </c>
      <c r="H1159">
        <v>31</v>
      </c>
      <c r="I1159" t="s">
        <v>26</v>
      </c>
      <c r="J1159">
        <v>1</v>
      </c>
      <c r="K1159" s="4">
        <v>25564</v>
      </c>
      <c r="L1159" s="4">
        <v>25564</v>
      </c>
    </row>
    <row r="1160" spans="1:2" ht="12.75">
      <c r="A1160" t="s">
        <v>47</v>
      </c>
      <c r="B1160">
        <f>SUM(L1148:L1159)</f>
        <v>409533</v>
      </c>
    </row>
    <row r="1162" ht="12.75">
      <c r="A1162" t="str">
        <f>"2418 - Prometni inšpektorat RS, verzija: 1"</f>
        <v>2418 - Prometni inšpektorat RS, verzija: 1</v>
      </c>
    </row>
    <row r="1163" spans="2:13" ht="12.75">
      <c r="B1163" t="s">
        <v>3</v>
      </c>
      <c r="D1163" t="s">
        <v>4</v>
      </c>
      <c r="F1163" t="s">
        <v>5</v>
      </c>
      <c r="H1163" t="s">
        <v>6</v>
      </c>
      <c r="J1163" t="s">
        <v>7</v>
      </c>
      <c r="K1163" s="4" t="s">
        <v>8</v>
      </c>
      <c r="L1163" s="4" t="s">
        <v>9</v>
      </c>
      <c r="M1163" t="s">
        <v>10</v>
      </c>
    </row>
    <row r="1164" spans="2:12" ht="12.75">
      <c r="B1164" t="str">
        <f>"2909"</f>
        <v>2909</v>
      </c>
      <c r="C1164" t="s">
        <v>27</v>
      </c>
      <c r="D1164">
        <v>402513</v>
      </c>
      <c r="E1164" t="s">
        <v>85</v>
      </c>
      <c r="F1164">
        <v>100006</v>
      </c>
      <c r="G1164" t="s">
        <v>368</v>
      </c>
      <c r="H1164">
        <v>10</v>
      </c>
      <c r="I1164" t="s">
        <v>35</v>
      </c>
      <c r="J1164">
        <v>5</v>
      </c>
      <c r="K1164" s="4">
        <v>1000</v>
      </c>
      <c r="L1164" s="4">
        <v>5000</v>
      </c>
    </row>
    <row r="1165" spans="2:12" ht="12.75">
      <c r="B1165" t="str">
        <f>"2909"</f>
        <v>2909</v>
      </c>
      <c r="C1165" t="s">
        <v>27</v>
      </c>
      <c r="D1165">
        <v>402515</v>
      </c>
      <c r="E1165" t="s">
        <v>15</v>
      </c>
      <c r="F1165">
        <v>310008</v>
      </c>
      <c r="G1165" t="s">
        <v>148</v>
      </c>
      <c r="H1165">
        <v>31</v>
      </c>
      <c r="I1165" t="s">
        <v>26</v>
      </c>
      <c r="J1165">
        <v>20</v>
      </c>
      <c r="K1165" s="4">
        <v>150</v>
      </c>
      <c r="L1165" s="4">
        <v>3000</v>
      </c>
    </row>
    <row r="1166" spans="2:12" ht="12.75">
      <c r="B1166" t="str">
        <f>"2909"</f>
        <v>2909</v>
      </c>
      <c r="C1166" t="s">
        <v>27</v>
      </c>
      <c r="D1166">
        <v>420222</v>
      </c>
      <c r="E1166" t="s">
        <v>60</v>
      </c>
      <c r="F1166">
        <v>100007</v>
      </c>
      <c r="G1166" t="s">
        <v>369</v>
      </c>
      <c r="H1166">
        <v>10</v>
      </c>
      <c r="I1166" t="s">
        <v>35</v>
      </c>
      <c r="J1166">
        <v>2</v>
      </c>
      <c r="K1166" s="4">
        <v>2500</v>
      </c>
      <c r="L1166" s="4">
        <v>5000</v>
      </c>
    </row>
    <row r="1167" spans="2:12" ht="12.75">
      <c r="B1167" t="str">
        <f>"2909"</f>
        <v>2909</v>
      </c>
      <c r="C1167" t="s">
        <v>27</v>
      </c>
      <c r="D1167">
        <v>420703</v>
      </c>
      <c r="E1167" t="s">
        <v>51</v>
      </c>
      <c r="F1167">
        <v>410006</v>
      </c>
      <c r="G1167" t="s">
        <v>148</v>
      </c>
      <c r="H1167">
        <v>41</v>
      </c>
      <c r="I1167" t="s">
        <v>14</v>
      </c>
      <c r="J1167">
        <v>2</v>
      </c>
      <c r="K1167" s="4">
        <v>5000</v>
      </c>
      <c r="L1167" s="4">
        <v>10000</v>
      </c>
    </row>
    <row r="1168" spans="1:2" ht="12.75">
      <c r="A1168" t="s">
        <v>47</v>
      </c>
      <c r="B1168">
        <f>SUM(L1164:L1167)</f>
        <v>23000</v>
      </c>
    </row>
    <row r="1170" ht="12.75">
      <c r="A1170" t="str">
        <f>"2423 - Direkcija za vodenje investicij JŽI, verzija: 1"</f>
        <v>2423 - Direkcija za vodenje investicij JŽI, verzija: 1</v>
      </c>
    </row>
    <row r="1171" spans="2:13" ht="12.75">
      <c r="B1171" t="s">
        <v>3</v>
      </c>
      <c r="D1171" t="s">
        <v>4</v>
      </c>
      <c r="F1171" t="s">
        <v>5</v>
      </c>
      <c r="H1171" t="s">
        <v>6</v>
      </c>
      <c r="J1171" t="s">
        <v>7</v>
      </c>
      <c r="K1171" s="4" t="s">
        <v>8</v>
      </c>
      <c r="L1171" s="4" t="s">
        <v>9</v>
      </c>
      <c r="M1171" t="s">
        <v>10</v>
      </c>
    </row>
    <row r="1172" spans="2:12" ht="12.75">
      <c r="B1172" t="str">
        <f aca="true" t="shared" si="58" ref="B1172:B1177">"7516"</f>
        <v>7516</v>
      </c>
      <c r="C1172" t="s">
        <v>40</v>
      </c>
      <c r="D1172">
        <v>402011</v>
      </c>
      <c r="E1172" t="s">
        <v>54</v>
      </c>
      <c r="F1172">
        <v>430007</v>
      </c>
      <c r="G1172" t="s">
        <v>55</v>
      </c>
      <c r="H1172">
        <v>43</v>
      </c>
      <c r="I1172" t="s">
        <v>56</v>
      </c>
      <c r="J1172">
        <v>1</v>
      </c>
      <c r="K1172" s="4">
        <v>3000</v>
      </c>
      <c r="L1172" s="4">
        <v>3000</v>
      </c>
    </row>
    <row r="1173" spans="2:12" ht="12.75">
      <c r="B1173" t="str">
        <f t="shared" si="58"/>
        <v>7516</v>
      </c>
      <c r="C1173" t="s">
        <v>40</v>
      </c>
      <c r="D1173">
        <v>402510</v>
      </c>
      <c r="E1173" t="s">
        <v>12</v>
      </c>
      <c r="F1173">
        <v>350003</v>
      </c>
      <c r="G1173" t="s">
        <v>44</v>
      </c>
      <c r="H1173">
        <v>35</v>
      </c>
      <c r="I1173" t="s">
        <v>17</v>
      </c>
      <c r="J1173">
        <v>1</v>
      </c>
      <c r="K1173" s="4">
        <v>5202</v>
      </c>
      <c r="L1173" s="4">
        <v>5202</v>
      </c>
    </row>
    <row r="1174" spans="2:12" ht="12.75">
      <c r="B1174" t="str">
        <f t="shared" si="58"/>
        <v>7516</v>
      </c>
      <c r="C1174" t="s">
        <v>40</v>
      </c>
      <c r="D1174">
        <v>402513</v>
      </c>
      <c r="E1174" t="s">
        <v>85</v>
      </c>
      <c r="F1174">
        <v>410004</v>
      </c>
      <c r="G1174" t="s">
        <v>265</v>
      </c>
      <c r="H1174">
        <v>41</v>
      </c>
      <c r="I1174" t="s">
        <v>14</v>
      </c>
      <c r="J1174">
        <v>1</v>
      </c>
      <c r="K1174" s="4">
        <v>50711</v>
      </c>
      <c r="L1174" s="4">
        <v>50711</v>
      </c>
    </row>
    <row r="1175" spans="2:12" ht="12.75">
      <c r="B1175" t="str">
        <f t="shared" si="58"/>
        <v>7516</v>
      </c>
      <c r="C1175" t="s">
        <v>40</v>
      </c>
      <c r="D1175">
        <v>402514</v>
      </c>
      <c r="E1175" t="s">
        <v>45</v>
      </c>
      <c r="F1175">
        <v>310005</v>
      </c>
      <c r="G1175" t="s">
        <v>46</v>
      </c>
      <c r="H1175">
        <v>31</v>
      </c>
      <c r="I1175" t="s">
        <v>26</v>
      </c>
      <c r="J1175">
        <v>1</v>
      </c>
      <c r="K1175" s="4">
        <v>7415</v>
      </c>
      <c r="L1175" s="4">
        <v>7415</v>
      </c>
    </row>
    <row r="1176" spans="2:12" ht="12.75">
      <c r="B1176" t="str">
        <f t="shared" si="58"/>
        <v>7516</v>
      </c>
      <c r="C1176" t="s">
        <v>40</v>
      </c>
      <c r="D1176">
        <v>402515</v>
      </c>
      <c r="E1176" t="s">
        <v>15</v>
      </c>
      <c r="F1176">
        <v>400001</v>
      </c>
      <c r="G1176" t="s">
        <v>21</v>
      </c>
      <c r="H1176">
        <v>40</v>
      </c>
      <c r="I1176" t="s">
        <v>50</v>
      </c>
      <c r="J1176">
        <v>1</v>
      </c>
      <c r="K1176" s="4">
        <v>12000</v>
      </c>
      <c r="L1176" s="4">
        <v>12000</v>
      </c>
    </row>
    <row r="1177" spans="2:13" ht="12.75">
      <c r="B1177" t="str">
        <f t="shared" si="58"/>
        <v>7516</v>
      </c>
      <c r="C1177" t="s">
        <v>40</v>
      </c>
      <c r="D1177">
        <v>402607</v>
      </c>
      <c r="E1177" t="s">
        <v>91</v>
      </c>
      <c r="F1177">
        <v>410007</v>
      </c>
      <c r="G1177" t="s">
        <v>25</v>
      </c>
      <c r="H1177">
        <v>41</v>
      </c>
      <c r="I1177" t="s">
        <v>14</v>
      </c>
      <c r="J1177">
        <v>1</v>
      </c>
      <c r="K1177" s="4">
        <v>18745</v>
      </c>
      <c r="L1177" s="4">
        <v>18745</v>
      </c>
      <c r="M1177" t="s">
        <v>370</v>
      </c>
    </row>
    <row r="1178" spans="2:12" ht="12.75">
      <c r="B1178" t="str">
        <f aca="true" t="shared" si="59" ref="B1178:B1187">"7518"</f>
        <v>7518</v>
      </c>
      <c r="C1178" t="s">
        <v>27</v>
      </c>
      <c r="D1178">
        <v>420202</v>
      </c>
      <c r="E1178" t="s">
        <v>19</v>
      </c>
      <c r="F1178">
        <v>10003</v>
      </c>
      <c r="G1178" t="s">
        <v>28</v>
      </c>
      <c r="H1178">
        <v>1</v>
      </c>
      <c r="I1178" t="s">
        <v>21</v>
      </c>
      <c r="J1178">
        <v>35</v>
      </c>
      <c r="K1178" s="4">
        <v>628.57</v>
      </c>
      <c r="L1178" s="4">
        <v>21999.95</v>
      </c>
    </row>
    <row r="1179" spans="2:12" ht="12.75">
      <c r="B1179" t="str">
        <f t="shared" si="59"/>
        <v>7518</v>
      </c>
      <c r="C1179" t="s">
        <v>27</v>
      </c>
      <c r="D1179">
        <v>420202</v>
      </c>
      <c r="E1179" t="s">
        <v>19</v>
      </c>
      <c r="F1179">
        <v>20002</v>
      </c>
      <c r="G1179" t="s">
        <v>58</v>
      </c>
      <c r="H1179">
        <v>2</v>
      </c>
      <c r="I1179" t="s">
        <v>30</v>
      </c>
      <c r="J1179">
        <v>5</v>
      </c>
      <c r="K1179" s="4">
        <v>1400</v>
      </c>
      <c r="L1179" s="4">
        <v>7000</v>
      </c>
    </row>
    <row r="1180" spans="2:12" ht="12.75">
      <c r="B1180" t="str">
        <f t="shared" si="59"/>
        <v>7518</v>
      </c>
      <c r="C1180" t="s">
        <v>27</v>
      </c>
      <c r="D1180">
        <v>420202</v>
      </c>
      <c r="E1180" t="s">
        <v>19</v>
      </c>
      <c r="F1180">
        <v>40002</v>
      </c>
      <c r="G1180" t="s">
        <v>22</v>
      </c>
      <c r="H1180">
        <v>4</v>
      </c>
      <c r="I1180" t="s">
        <v>23</v>
      </c>
      <c r="J1180">
        <v>35</v>
      </c>
      <c r="K1180" s="4">
        <v>257.14</v>
      </c>
      <c r="L1180" s="4">
        <v>8999.9</v>
      </c>
    </row>
    <row r="1181" spans="2:12" ht="12.75">
      <c r="B1181" t="str">
        <f t="shared" si="59"/>
        <v>7518</v>
      </c>
      <c r="C1181" t="s">
        <v>27</v>
      </c>
      <c r="D1181">
        <v>420202</v>
      </c>
      <c r="E1181" t="s">
        <v>19</v>
      </c>
      <c r="F1181">
        <v>60002</v>
      </c>
      <c r="G1181" t="s">
        <v>31</v>
      </c>
      <c r="H1181">
        <v>6</v>
      </c>
      <c r="I1181" t="s">
        <v>32</v>
      </c>
      <c r="J1181">
        <v>8</v>
      </c>
      <c r="K1181" s="4">
        <v>562.5</v>
      </c>
      <c r="L1181" s="4">
        <v>4500</v>
      </c>
    </row>
    <row r="1182" spans="2:12" ht="12.75">
      <c r="B1182" t="str">
        <f t="shared" si="59"/>
        <v>7518</v>
      </c>
      <c r="C1182" t="s">
        <v>27</v>
      </c>
      <c r="D1182">
        <v>420202</v>
      </c>
      <c r="E1182" t="s">
        <v>19</v>
      </c>
      <c r="F1182">
        <v>100001</v>
      </c>
      <c r="G1182" t="s">
        <v>77</v>
      </c>
      <c r="H1182">
        <v>10</v>
      </c>
      <c r="I1182" t="s">
        <v>35</v>
      </c>
      <c r="J1182">
        <v>1</v>
      </c>
      <c r="K1182" s="4">
        <v>600</v>
      </c>
      <c r="L1182" s="4">
        <v>600</v>
      </c>
    </row>
    <row r="1183" spans="2:13" ht="12.75">
      <c r="B1183" t="str">
        <f t="shared" si="59"/>
        <v>7518</v>
      </c>
      <c r="C1183" t="s">
        <v>27</v>
      </c>
      <c r="D1183">
        <v>420202</v>
      </c>
      <c r="E1183" t="s">
        <v>19</v>
      </c>
      <c r="F1183">
        <v>400023</v>
      </c>
      <c r="G1183" t="s">
        <v>94</v>
      </c>
      <c r="H1183">
        <v>40</v>
      </c>
      <c r="I1183" t="s">
        <v>50</v>
      </c>
      <c r="J1183">
        <v>1</v>
      </c>
      <c r="K1183" s="4">
        <v>2000</v>
      </c>
      <c r="L1183" s="4">
        <v>2000</v>
      </c>
      <c r="M1183" t="s">
        <v>371</v>
      </c>
    </row>
    <row r="1184" spans="2:12" ht="12.75">
      <c r="B1184" t="str">
        <f t="shared" si="59"/>
        <v>7518</v>
      </c>
      <c r="C1184" t="s">
        <v>27</v>
      </c>
      <c r="D1184">
        <v>420222</v>
      </c>
      <c r="E1184" t="s">
        <v>60</v>
      </c>
      <c r="F1184">
        <v>230002</v>
      </c>
      <c r="G1184" t="s">
        <v>214</v>
      </c>
      <c r="H1184">
        <v>23</v>
      </c>
      <c r="I1184" t="s">
        <v>143</v>
      </c>
      <c r="J1184">
        <v>1</v>
      </c>
      <c r="K1184" s="4">
        <v>10000</v>
      </c>
      <c r="L1184" s="4">
        <v>10000</v>
      </c>
    </row>
    <row r="1185" spans="2:13" ht="12.75">
      <c r="B1185" t="str">
        <f t="shared" si="59"/>
        <v>7518</v>
      </c>
      <c r="C1185" t="s">
        <v>27</v>
      </c>
      <c r="D1185">
        <v>420238</v>
      </c>
      <c r="E1185" t="s">
        <v>34</v>
      </c>
      <c r="F1185">
        <v>30005</v>
      </c>
      <c r="G1185" t="s">
        <v>25</v>
      </c>
      <c r="H1185">
        <v>3</v>
      </c>
      <c r="I1185" t="s">
        <v>78</v>
      </c>
      <c r="J1185">
        <v>20</v>
      </c>
      <c r="K1185" s="4">
        <v>50</v>
      </c>
      <c r="L1185" s="4">
        <v>1000</v>
      </c>
      <c r="M1185" t="s">
        <v>372</v>
      </c>
    </row>
    <row r="1186" spans="2:12" ht="12.75">
      <c r="B1186" t="str">
        <f t="shared" si="59"/>
        <v>7518</v>
      </c>
      <c r="C1186" t="s">
        <v>27</v>
      </c>
      <c r="D1186">
        <v>420703</v>
      </c>
      <c r="E1186" t="s">
        <v>51</v>
      </c>
      <c r="F1186">
        <v>310005</v>
      </c>
      <c r="G1186" t="s">
        <v>46</v>
      </c>
      <c r="H1186">
        <v>31</v>
      </c>
      <c r="I1186" t="s">
        <v>26</v>
      </c>
      <c r="J1186">
        <v>50</v>
      </c>
      <c r="K1186" s="4">
        <v>152</v>
      </c>
      <c r="L1186" s="4">
        <v>7600</v>
      </c>
    </row>
    <row r="1187" spans="2:12" ht="12.75">
      <c r="B1187" t="str">
        <f t="shared" si="59"/>
        <v>7518</v>
      </c>
      <c r="C1187" t="s">
        <v>27</v>
      </c>
      <c r="D1187">
        <v>420704</v>
      </c>
      <c r="E1187" t="s">
        <v>24</v>
      </c>
      <c r="F1187">
        <v>180009</v>
      </c>
      <c r="G1187" t="s">
        <v>52</v>
      </c>
      <c r="H1187">
        <v>18</v>
      </c>
      <c r="I1187" t="s">
        <v>53</v>
      </c>
      <c r="J1187">
        <v>1</v>
      </c>
      <c r="K1187" s="4">
        <v>1000</v>
      </c>
      <c r="L1187" s="4">
        <v>1000</v>
      </c>
    </row>
    <row r="1188" spans="1:2" ht="12.75">
      <c r="A1188" t="s">
        <v>47</v>
      </c>
      <c r="B1188">
        <f>SUM(L1172:L1187)</f>
        <v>161772.85</v>
      </c>
    </row>
    <row r="1190" ht="12.75">
      <c r="A1190" t="str">
        <f>"2511 - Ministrstvo za okolje in prostor, verzija: 1"</f>
        <v>2511 - Ministrstvo za okolje in prostor, verzija: 1</v>
      </c>
    </row>
    <row r="1191" spans="2:13" ht="12.75">
      <c r="B1191" t="s">
        <v>3</v>
      </c>
      <c r="D1191" t="s">
        <v>4</v>
      </c>
      <c r="F1191" t="s">
        <v>5</v>
      </c>
      <c r="H1191" t="s">
        <v>6</v>
      </c>
      <c r="J1191" t="s">
        <v>7</v>
      </c>
      <c r="K1191" s="4" t="s">
        <v>8</v>
      </c>
      <c r="L1191" s="4" t="s">
        <v>9</v>
      </c>
      <c r="M1191" t="s">
        <v>10</v>
      </c>
    </row>
    <row r="1192" spans="2:13" ht="12.75">
      <c r="B1192" t="str">
        <f>"7617"</f>
        <v>7617</v>
      </c>
      <c r="C1192" t="s">
        <v>373</v>
      </c>
      <c r="D1192">
        <v>402510</v>
      </c>
      <c r="E1192" t="s">
        <v>12</v>
      </c>
      <c r="F1192">
        <v>310005</v>
      </c>
      <c r="G1192" t="s">
        <v>46</v>
      </c>
      <c r="H1192">
        <v>31</v>
      </c>
      <c r="I1192" t="s">
        <v>26</v>
      </c>
      <c r="J1192">
        <v>1</v>
      </c>
      <c r="K1192" s="4">
        <v>15000</v>
      </c>
      <c r="L1192" s="4">
        <v>15000</v>
      </c>
      <c r="M1192" t="s">
        <v>374</v>
      </c>
    </row>
    <row r="1193" spans="2:12" ht="12.75">
      <c r="B1193" t="str">
        <f>"7617"</f>
        <v>7617</v>
      </c>
      <c r="C1193" t="s">
        <v>373</v>
      </c>
      <c r="D1193">
        <v>402510</v>
      </c>
      <c r="E1193" t="s">
        <v>12</v>
      </c>
      <c r="F1193">
        <v>400001</v>
      </c>
      <c r="G1193" t="s">
        <v>21</v>
      </c>
      <c r="H1193">
        <v>40</v>
      </c>
      <c r="I1193" t="s">
        <v>50</v>
      </c>
      <c r="J1193">
        <v>1</v>
      </c>
      <c r="K1193" s="4">
        <v>30902</v>
      </c>
      <c r="L1193" s="4">
        <v>30902</v>
      </c>
    </row>
    <row r="1194" spans="2:12" ht="12.75">
      <c r="B1194" t="str">
        <f>"7807"</f>
        <v>7807</v>
      </c>
      <c r="C1194" t="s">
        <v>27</v>
      </c>
      <c r="D1194">
        <v>420202</v>
      </c>
      <c r="E1194" t="s">
        <v>19</v>
      </c>
      <c r="F1194">
        <v>10002</v>
      </c>
      <c r="G1194" t="s">
        <v>20</v>
      </c>
      <c r="H1194">
        <v>1</v>
      </c>
      <c r="I1194" t="s">
        <v>21</v>
      </c>
      <c r="J1194">
        <v>30</v>
      </c>
      <c r="K1194" s="4">
        <v>800</v>
      </c>
      <c r="L1194" s="4">
        <v>24000</v>
      </c>
    </row>
    <row r="1195" spans="2:12" ht="12.75">
      <c r="B1195" t="str">
        <f>"7807"</f>
        <v>7807</v>
      </c>
      <c r="C1195" t="s">
        <v>27</v>
      </c>
      <c r="D1195">
        <v>420202</v>
      </c>
      <c r="E1195" t="s">
        <v>19</v>
      </c>
      <c r="F1195">
        <v>20001</v>
      </c>
      <c r="G1195" t="s">
        <v>29</v>
      </c>
      <c r="H1195">
        <v>2</v>
      </c>
      <c r="I1195" t="s">
        <v>30</v>
      </c>
      <c r="J1195">
        <v>11</v>
      </c>
      <c r="K1195" s="4">
        <v>1000</v>
      </c>
      <c r="L1195" s="4">
        <v>11000</v>
      </c>
    </row>
    <row r="1196" spans="2:12" ht="12.75">
      <c r="B1196" t="str">
        <f>"7807"</f>
        <v>7807</v>
      </c>
      <c r="C1196" t="s">
        <v>27</v>
      </c>
      <c r="D1196">
        <v>420202</v>
      </c>
      <c r="E1196" t="s">
        <v>19</v>
      </c>
      <c r="F1196">
        <v>60002</v>
      </c>
      <c r="G1196" t="s">
        <v>31</v>
      </c>
      <c r="H1196">
        <v>6</v>
      </c>
      <c r="I1196" t="s">
        <v>32</v>
      </c>
      <c r="J1196">
        <v>16</v>
      </c>
      <c r="K1196" s="4">
        <v>3500</v>
      </c>
      <c r="L1196" s="4">
        <v>56000</v>
      </c>
    </row>
    <row r="1197" spans="2:12" ht="12.75">
      <c r="B1197" t="str">
        <f>"7807"</f>
        <v>7807</v>
      </c>
      <c r="C1197" t="s">
        <v>27</v>
      </c>
      <c r="D1197">
        <v>420202</v>
      </c>
      <c r="E1197" t="s">
        <v>19</v>
      </c>
      <c r="F1197">
        <v>60002</v>
      </c>
      <c r="G1197" t="s">
        <v>31</v>
      </c>
      <c r="H1197">
        <v>6</v>
      </c>
      <c r="I1197" t="s">
        <v>32</v>
      </c>
      <c r="J1197">
        <v>40</v>
      </c>
      <c r="K1197" s="4">
        <v>600</v>
      </c>
      <c r="L1197" s="4">
        <v>24000</v>
      </c>
    </row>
    <row r="1198" spans="2:12" ht="12.75">
      <c r="B1198" t="str">
        <f>"7807"</f>
        <v>7807</v>
      </c>
      <c r="C1198" t="s">
        <v>27</v>
      </c>
      <c r="D1198">
        <v>420202</v>
      </c>
      <c r="E1198" t="s">
        <v>19</v>
      </c>
      <c r="F1198">
        <v>70001</v>
      </c>
      <c r="G1198" t="s">
        <v>213</v>
      </c>
      <c r="H1198">
        <v>7</v>
      </c>
      <c r="I1198" t="s">
        <v>74</v>
      </c>
      <c r="J1198">
        <v>10</v>
      </c>
      <c r="K1198" s="4">
        <v>1018</v>
      </c>
      <c r="L1198" s="4">
        <v>10180</v>
      </c>
    </row>
    <row r="1199" spans="1:2" ht="12.75">
      <c r="A1199" t="s">
        <v>47</v>
      </c>
      <c r="B1199">
        <f>SUM(L1192:L1198)</f>
        <v>171082</v>
      </c>
    </row>
    <row r="1201" ht="12.75">
      <c r="A1201" t="str">
        <f>"2512 - Geodetska uprava RS, verzija: 2"</f>
        <v>2512 - Geodetska uprava RS, verzija: 2</v>
      </c>
    </row>
    <row r="1202" spans="2:13" ht="12.75">
      <c r="B1202" t="s">
        <v>3</v>
      </c>
      <c r="D1202" t="s">
        <v>4</v>
      </c>
      <c r="F1202" t="s">
        <v>5</v>
      </c>
      <c r="H1202" t="s">
        <v>6</v>
      </c>
      <c r="J1202" t="s">
        <v>7</v>
      </c>
      <c r="K1202" s="4" t="s">
        <v>8</v>
      </c>
      <c r="L1202" s="4" t="s">
        <v>9</v>
      </c>
      <c r="M1202" t="s">
        <v>10</v>
      </c>
    </row>
    <row r="1203" spans="2:12" ht="12.75">
      <c r="B1203" t="s">
        <v>375</v>
      </c>
      <c r="D1203">
        <v>402514</v>
      </c>
      <c r="E1203" t="s">
        <v>45</v>
      </c>
      <c r="F1203">
        <v>310007</v>
      </c>
      <c r="G1203" t="s">
        <v>82</v>
      </c>
      <c r="H1203">
        <v>31</v>
      </c>
      <c r="I1203" t="s">
        <v>26</v>
      </c>
      <c r="J1203">
        <v>1</v>
      </c>
      <c r="K1203" s="4">
        <v>24321</v>
      </c>
      <c r="L1203" s="4">
        <v>24321</v>
      </c>
    </row>
    <row r="1204" spans="2:12" ht="12.75">
      <c r="B1204" t="s">
        <v>375</v>
      </c>
      <c r="D1204">
        <v>420704</v>
      </c>
      <c r="E1204" t="s">
        <v>24</v>
      </c>
      <c r="F1204">
        <v>310009</v>
      </c>
      <c r="G1204" t="s">
        <v>25</v>
      </c>
      <c r="H1204">
        <v>31</v>
      </c>
      <c r="I1204" t="s">
        <v>26</v>
      </c>
      <c r="J1204">
        <v>1</v>
      </c>
      <c r="K1204" s="4">
        <v>52723</v>
      </c>
      <c r="L1204" s="4">
        <v>52723</v>
      </c>
    </row>
    <row r="1205" spans="2:12" ht="12.75">
      <c r="B1205" t="s">
        <v>376</v>
      </c>
      <c r="D1205">
        <v>402514</v>
      </c>
      <c r="E1205" t="s">
        <v>45</v>
      </c>
      <c r="F1205">
        <v>310007</v>
      </c>
      <c r="G1205" t="s">
        <v>82</v>
      </c>
      <c r="H1205">
        <v>31</v>
      </c>
      <c r="I1205" t="s">
        <v>26</v>
      </c>
      <c r="J1205">
        <v>1</v>
      </c>
      <c r="K1205" s="4">
        <v>35212</v>
      </c>
      <c r="L1205" s="4">
        <v>35212</v>
      </c>
    </row>
    <row r="1206" spans="2:12" ht="12.75">
      <c r="B1206" t="s">
        <v>376</v>
      </c>
      <c r="D1206">
        <v>420704</v>
      </c>
      <c r="E1206" t="s">
        <v>24</v>
      </c>
      <c r="F1206">
        <v>310009</v>
      </c>
      <c r="G1206" t="s">
        <v>25</v>
      </c>
      <c r="H1206">
        <v>31</v>
      </c>
      <c r="I1206" t="s">
        <v>26</v>
      </c>
      <c r="J1206">
        <v>1</v>
      </c>
      <c r="K1206" s="4">
        <v>76331</v>
      </c>
      <c r="L1206" s="4">
        <v>76331</v>
      </c>
    </row>
    <row r="1207" spans="2:12" ht="12.75">
      <c r="B1207" t="str">
        <f>"3090"</f>
        <v>3090</v>
      </c>
      <c r="C1207" t="s">
        <v>377</v>
      </c>
      <c r="D1207">
        <v>402513</v>
      </c>
      <c r="E1207" t="s">
        <v>85</v>
      </c>
      <c r="F1207">
        <v>410005</v>
      </c>
      <c r="G1207" t="s">
        <v>190</v>
      </c>
      <c r="H1207">
        <v>41</v>
      </c>
      <c r="I1207" t="s">
        <v>14</v>
      </c>
      <c r="J1207">
        <v>1</v>
      </c>
      <c r="K1207" s="4">
        <v>41729</v>
      </c>
      <c r="L1207" s="4">
        <v>41729</v>
      </c>
    </row>
    <row r="1208" spans="2:12" ht="12.75">
      <c r="B1208" t="str">
        <f>"3125"</f>
        <v>3125</v>
      </c>
      <c r="C1208" t="s">
        <v>378</v>
      </c>
      <c r="D1208">
        <v>402007</v>
      </c>
      <c r="E1208" t="s">
        <v>41</v>
      </c>
      <c r="F1208">
        <v>410001</v>
      </c>
      <c r="G1208" t="s">
        <v>13</v>
      </c>
      <c r="H1208">
        <v>41</v>
      </c>
      <c r="I1208" t="s">
        <v>14</v>
      </c>
      <c r="J1208">
        <v>1</v>
      </c>
      <c r="K1208" s="4">
        <v>350000</v>
      </c>
      <c r="L1208" s="4">
        <v>350000</v>
      </c>
    </row>
    <row r="1209" spans="2:12" ht="12.75">
      <c r="B1209" t="str">
        <f>"3125"</f>
        <v>3125</v>
      </c>
      <c r="C1209" t="s">
        <v>378</v>
      </c>
      <c r="D1209">
        <v>420704</v>
      </c>
      <c r="E1209" t="s">
        <v>24</v>
      </c>
      <c r="F1209">
        <v>410005</v>
      </c>
      <c r="G1209" t="s">
        <v>190</v>
      </c>
      <c r="H1209">
        <v>41</v>
      </c>
      <c r="I1209" t="s">
        <v>14</v>
      </c>
      <c r="J1209">
        <v>1</v>
      </c>
      <c r="K1209" s="4">
        <v>220000</v>
      </c>
      <c r="L1209" s="4">
        <v>220000</v>
      </c>
    </row>
    <row r="1210" spans="2:12" ht="12.75">
      <c r="B1210" t="str">
        <f>"3130"</f>
        <v>3130</v>
      </c>
      <c r="C1210" t="s">
        <v>379</v>
      </c>
      <c r="D1210">
        <v>402513</v>
      </c>
      <c r="E1210" t="s">
        <v>85</v>
      </c>
      <c r="F1210">
        <v>410001</v>
      </c>
      <c r="G1210" t="s">
        <v>13</v>
      </c>
      <c r="H1210">
        <v>41</v>
      </c>
      <c r="I1210" t="s">
        <v>14</v>
      </c>
      <c r="J1210">
        <v>1</v>
      </c>
      <c r="K1210" s="4">
        <v>165000</v>
      </c>
      <c r="L1210" s="4">
        <v>165000</v>
      </c>
    </row>
    <row r="1211" spans="2:12" ht="12.75">
      <c r="B1211" t="str">
        <f>"3130"</f>
        <v>3130</v>
      </c>
      <c r="C1211" t="s">
        <v>379</v>
      </c>
      <c r="D1211">
        <v>420704</v>
      </c>
      <c r="E1211" t="s">
        <v>24</v>
      </c>
      <c r="F1211">
        <v>410002</v>
      </c>
      <c r="G1211" t="s">
        <v>86</v>
      </c>
      <c r="H1211">
        <v>41</v>
      </c>
      <c r="I1211" t="s">
        <v>14</v>
      </c>
      <c r="J1211">
        <v>1</v>
      </c>
      <c r="K1211" s="4">
        <v>65000</v>
      </c>
      <c r="L1211" s="4">
        <v>65000</v>
      </c>
    </row>
    <row r="1212" spans="2:12" ht="12.75">
      <c r="B1212" t="str">
        <f aca="true" t="shared" si="60" ref="B1212:B1217">"3353"</f>
        <v>3353</v>
      </c>
      <c r="C1212" t="s">
        <v>40</v>
      </c>
      <c r="D1212">
        <v>402007</v>
      </c>
      <c r="E1212" t="s">
        <v>41</v>
      </c>
      <c r="F1212">
        <v>420002</v>
      </c>
      <c r="G1212" t="s">
        <v>126</v>
      </c>
      <c r="H1212">
        <v>42</v>
      </c>
      <c r="I1212" t="s">
        <v>101</v>
      </c>
      <c r="J1212">
        <v>1</v>
      </c>
      <c r="K1212" s="4">
        <v>36040</v>
      </c>
      <c r="L1212" s="4">
        <v>36040</v>
      </c>
    </row>
    <row r="1213" spans="2:12" ht="12.75">
      <c r="B1213" t="str">
        <f t="shared" si="60"/>
        <v>3353</v>
      </c>
      <c r="C1213" t="s">
        <v>40</v>
      </c>
      <c r="D1213">
        <v>402510</v>
      </c>
      <c r="E1213" t="s">
        <v>12</v>
      </c>
      <c r="F1213">
        <v>350007</v>
      </c>
      <c r="G1213" t="s">
        <v>261</v>
      </c>
      <c r="H1213">
        <v>35</v>
      </c>
      <c r="I1213" t="s">
        <v>17</v>
      </c>
      <c r="J1213">
        <v>1</v>
      </c>
      <c r="K1213" s="4">
        <v>16704</v>
      </c>
      <c r="L1213" s="4">
        <v>16704</v>
      </c>
    </row>
    <row r="1214" spans="2:12" ht="12.75">
      <c r="B1214" t="str">
        <f t="shared" si="60"/>
        <v>3353</v>
      </c>
      <c r="C1214" t="s">
        <v>40</v>
      </c>
      <c r="D1214">
        <v>402514</v>
      </c>
      <c r="E1214" t="s">
        <v>45</v>
      </c>
      <c r="F1214">
        <v>310007</v>
      </c>
      <c r="G1214" t="s">
        <v>82</v>
      </c>
      <c r="H1214">
        <v>31</v>
      </c>
      <c r="I1214" t="s">
        <v>26</v>
      </c>
      <c r="J1214">
        <v>1</v>
      </c>
      <c r="K1214" s="4">
        <v>144000</v>
      </c>
      <c r="L1214" s="4">
        <v>144000</v>
      </c>
    </row>
    <row r="1215" spans="2:12" ht="12.75">
      <c r="B1215" t="str">
        <f t="shared" si="60"/>
        <v>3353</v>
      </c>
      <c r="C1215" t="s">
        <v>40</v>
      </c>
      <c r="D1215">
        <v>402515</v>
      </c>
      <c r="E1215" t="s">
        <v>15</v>
      </c>
      <c r="F1215">
        <v>400001</v>
      </c>
      <c r="G1215" t="s">
        <v>21</v>
      </c>
      <c r="H1215">
        <v>40</v>
      </c>
      <c r="I1215" t="s">
        <v>50</v>
      </c>
      <c r="J1215">
        <v>1</v>
      </c>
      <c r="K1215" s="4">
        <v>5000</v>
      </c>
      <c r="L1215" s="4">
        <v>5000</v>
      </c>
    </row>
    <row r="1216" spans="2:12" ht="12.75">
      <c r="B1216" t="str">
        <f t="shared" si="60"/>
        <v>3353</v>
      </c>
      <c r="C1216" t="s">
        <v>40</v>
      </c>
      <c r="D1216">
        <v>402515</v>
      </c>
      <c r="E1216" t="s">
        <v>15</v>
      </c>
      <c r="F1216">
        <v>400006</v>
      </c>
      <c r="G1216" t="s">
        <v>32</v>
      </c>
      <c r="H1216">
        <v>40</v>
      </c>
      <c r="I1216" t="s">
        <v>50</v>
      </c>
      <c r="J1216">
        <v>1</v>
      </c>
      <c r="K1216" s="4">
        <v>15000</v>
      </c>
      <c r="L1216" s="4">
        <v>15000</v>
      </c>
    </row>
    <row r="1217" spans="2:12" ht="12.75">
      <c r="B1217" t="str">
        <f t="shared" si="60"/>
        <v>3353</v>
      </c>
      <c r="C1217" t="s">
        <v>40</v>
      </c>
      <c r="D1217">
        <v>402515</v>
      </c>
      <c r="E1217" t="s">
        <v>15</v>
      </c>
      <c r="F1217">
        <v>400012</v>
      </c>
      <c r="G1217" t="s">
        <v>90</v>
      </c>
      <c r="H1217">
        <v>40</v>
      </c>
      <c r="I1217" t="s">
        <v>50</v>
      </c>
      <c r="J1217">
        <v>1</v>
      </c>
      <c r="K1217" s="4">
        <v>126000</v>
      </c>
      <c r="L1217" s="4">
        <v>126000</v>
      </c>
    </row>
    <row r="1218" spans="2:12" ht="12.75">
      <c r="B1218" t="str">
        <f>"6260"</f>
        <v>6260</v>
      </c>
      <c r="C1218" t="s">
        <v>380</v>
      </c>
      <c r="D1218">
        <v>420222</v>
      </c>
      <c r="E1218" t="s">
        <v>60</v>
      </c>
      <c r="F1218">
        <v>190004</v>
      </c>
      <c r="G1218" t="s">
        <v>61</v>
      </c>
      <c r="H1218">
        <v>19</v>
      </c>
      <c r="I1218" t="s">
        <v>62</v>
      </c>
      <c r="J1218">
        <v>1</v>
      </c>
      <c r="K1218" s="4">
        <v>30000</v>
      </c>
      <c r="L1218" s="4">
        <v>30000</v>
      </c>
    </row>
    <row r="1219" spans="2:12" ht="12.75">
      <c r="B1219" t="str">
        <f>"6260"</f>
        <v>6260</v>
      </c>
      <c r="C1219" t="s">
        <v>380</v>
      </c>
      <c r="D1219">
        <v>420704</v>
      </c>
      <c r="E1219" t="s">
        <v>24</v>
      </c>
      <c r="F1219">
        <v>410007</v>
      </c>
      <c r="G1219" t="s">
        <v>25</v>
      </c>
      <c r="H1219">
        <v>41</v>
      </c>
      <c r="I1219" t="s">
        <v>14</v>
      </c>
      <c r="J1219">
        <v>1</v>
      </c>
      <c r="K1219" s="4">
        <v>140000</v>
      </c>
      <c r="L1219" s="4">
        <v>140000</v>
      </c>
    </row>
    <row r="1220" spans="2:12" ht="12.75">
      <c r="B1220" t="str">
        <f>"7811"</f>
        <v>7811</v>
      </c>
      <c r="C1220" t="s">
        <v>27</v>
      </c>
      <c r="D1220">
        <v>420202</v>
      </c>
      <c r="E1220" t="s">
        <v>19</v>
      </c>
      <c r="F1220">
        <v>10002</v>
      </c>
      <c r="G1220" t="s">
        <v>20</v>
      </c>
      <c r="H1220">
        <v>1</v>
      </c>
      <c r="I1220" t="s">
        <v>21</v>
      </c>
      <c r="J1220">
        <v>100</v>
      </c>
      <c r="K1220" s="4">
        <v>610</v>
      </c>
      <c r="L1220" s="4">
        <v>61000</v>
      </c>
    </row>
    <row r="1221" spans="2:12" ht="12.75">
      <c r="B1221" t="str">
        <f>"7811"</f>
        <v>7811</v>
      </c>
      <c r="C1221" t="s">
        <v>27</v>
      </c>
      <c r="D1221">
        <v>420202</v>
      </c>
      <c r="E1221" t="s">
        <v>19</v>
      </c>
      <c r="F1221">
        <v>20001</v>
      </c>
      <c r="G1221" t="s">
        <v>29</v>
      </c>
      <c r="H1221">
        <v>2</v>
      </c>
      <c r="I1221" t="s">
        <v>30</v>
      </c>
      <c r="J1221">
        <v>10</v>
      </c>
      <c r="K1221" s="4">
        <v>1500</v>
      </c>
      <c r="L1221" s="4">
        <v>15000</v>
      </c>
    </row>
    <row r="1222" spans="2:12" ht="12.75">
      <c r="B1222" t="str">
        <f>"7811"</f>
        <v>7811</v>
      </c>
      <c r="C1222" t="s">
        <v>27</v>
      </c>
      <c r="D1222">
        <v>420202</v>
      </c>
      <c r="E1222" t="s">
        <v>19</v>
      </c>
      <c r="F1222">
        <v>40002</v>
      </c>
      <c r="G1222" t="s">
        <v>22</v>
      </c>
      <c r="H1222">
        <v>4</v>
      </c>
      <c r="I1222" t="s">
        <v>23</v>
      </c>
      <c r="J1222">
        <v>100</v>
      </c>
      <c r="K1222" s="4">
        <v>204</v>
      </c>
      <c r="L1222" s="4">
        <v>20400</v>
      </c>
    </row>
    <row r="1223" spans="2:12" ht="12.75">
      <c r="B1223" t="str">
        <f>"7811"</f>
        <v>7811</v>
      </c>
      <c r="C1223" t="s">
        <v>27</v>
      </c>
      <c r="D1223">
        <v>420703</v>
      </c>
      <c r="E1223" t="s">
        <v>51</v>
      </c>
      <c r="F1223">
        <v>310007</v>
      </c>
      <c r="G1223" t="s">
        <v>82</v>
      </c>
      <c r="H1223">
        <v>31</v>
      </c>
      <c r="I1223" t="s">
        <v>26</v>
      </c>
      <c r="J1223">
        <v>1</v>
      </c>
      <c r="K1223" s="4">
        <v>203600</v>
      </c>
      <c r="L1223" s="4">
        <v>203600</v>
      </c>
    </row>
    <row r="1224" spans="2:12" ht="12.75">
      <c r="B1224" t="str">
        <f>"7974"</f>
        <v>7974</v>
      </c>
      <c r="C1224" t="s">
        <v>381</v>
      </c>
      <c r="D1224">
        <v>420704</v>
      </c>
      <c r="E1224" t="s">
        <v>24</v>
      </c>
      <c r="F1224">
        <v>410002</v>
      </c>
      <c r="G1224" t="s">
        <v>86</v>
      </c>
      <c r="H1224">
        <v>41</v>
      </c>
      <c r="I1224" t="s">
        <v>14</v>
      </c>
      <c r="J1224">
        <v>1</v>
      </c>
      <c r="K1224" s="4">
        <v>73943</v>
      </c>
      <c r="L1224" s="4">
        <v>73943</v>
      </c>
    </row>
    <row r="1225" spans="1:2" ht="12.75">
      <c r="A1225" t="s">
        <v>47</v>
      </c>
      <c r="B1225">
        <f>SUM(L1203:L1224)</f>
        <v>1917003</v>
      </c>
    </row>
    <row r="1227" ht="12.75">
      <c r="A1227" t="str">
        <f>"2513 - Uprava RS za jedrsko varnost, verzija: 1"</f>
        <v>2513 - Uprava RS za jedrsko varnost, verzija: 1</v>
      </c>
    </row>
    <row r="1228" spans="2:13" ht="12.75">
      <c r="B1228" t="s">
        <v>3</v>
      </c>
      <c r="D1228" t="s">
        <v>4</v>
      </c>
      <c r="F1228" t="s">
        <v>5</v>
      </c>
      <c r="H1228" t="s">
        <v>6</v>
      </c>
      <c r="J1228" t="s">
        <v>7</v>
      </c>
      <c r="K1228" s="4" t="s">
        <v>8</v>
      </c>
      <c r="L1228" s="4" t="s">
        <v>9</v>
      </c>
      <c r="M1228" t="s">
        <v>10</v>
      </c>
    </row>
    <row r="1229" spans="2:12" ht="12.75">
      <c r="B1229" t="str">
        <f>"7821"</f>
        <v>7821</v>
      </c>
      <c r="C1229" t="s">
        <v>27</v>
      </c>
      <c r="D1229">
        <v>402007</v>
      </c>
      <c r="E1229" t="s">
        <v>41</v>
      </c>
      <c r="F1229">
        <v>30005</v>
      </c>
      <c r="G1229" t="s">
        <v>25</v>
      </c>
      <c r="H1229">
        <v>3</v>
      </c>
      <c r="I1229" t="s">
        <v>78</v>
      </c>
      <c r="J1229">
        <v>1</v>
      </c>
      <c r="K1229" s="4">
        <v>1700</v>
      </c>
      <c r="L1229" s="4">
        <v>1700</v>
      </c>
    </row>
    <row r="1230" spans="2:12" ht="12.75">
      <c r="B1230" t="str">
        <f>"7821"</f>
        <v>7821</v>
      </c>
      <c r="C1230" t="s">
        <v>27</v>
      </c>
      <c r="D1230">
        <v>402007</v>
      </c>
      <c r="E1230" t="s">
        <v>41</v>
      </c>
      <c r="F1230">
        <v>60004</v>
      </c>
      <c r="G1230" t="s">
        <v>33</v>
      </c>
      <c r="H1230">
        <v>6</v>
      </c>
      <c r="I1230" t="s">
        <v>32</v>
      </c>
      <c r="J1230">
        <v>1</v>
      </c>
      <c r="K1230" s="4">
        <v>3300</v>
      </c>
      <c r="L1230" s="4">
        <v>3300</v>
      </c>
    </row>
    <row r="1231" spans="2:12" ht="12.75">
      <c r="B1231" t="str">
        <f>"7821"</f>
        <v>7821</v>
      </c>
      <c r="C1231" t="s">
        <v>27</v>
      </c>
      <c r="D1231">
        <v>420202</v>
      </c>
      <c r="E1231" t="s">
        <v>19</v>
      </c>
      <c r="F1231">
        <v>20002</v>
      </c>
      <c r="G1231" t="s">
        <v>58</v>
      </c>
      <c r="H1231">
        <v>2</v>
      </c>
      <c r="I1231" t="s">
        <v>30</v>
      </c>
      <c r="J1231">
        <v>6</v>
      </c>
      <c r="K1231" s="4">
        <v>1900</v>
      </c>
      <c r="L1231" s="4">
        <v>11400</v>
      </c>
    </row>
    <row r="1232" spans="2:12" ht="12.75">
      <c r="B1232" t="str">
        <f>"7821"</f>
        <v>7821</v>
      </c>
      <c r="C1232" t="s">
        <v>27</v>
      </c>
      <c r="D1232">
        <v>420202</v>
      </c>
      <c r="E1232" t="s">
        <v>19</v>
      </c>
      <c r="F1232">
        <v>20003</v>
      </c>
      <c r="G1232" t="s">
        <v>25</v>
      </c>
      <c r="H1232">
        <v>2</v>
      </c>
      <c r="I1232" t="s">
        <v>30</v>
      </c>
      <c r="J1232">
        <v>1</v>
      </c>
      <c r="K1232" s="4">
        <v>3600</v>
      </c>
      <c r="L1232" s="4">
        <v>3600</v>
      </c>
    </row>
    <row r="1233" spans="1:2" ht="12.75">
      <c r="A1233" t="s">
        <v>47</v>
      </c>
      <c r="B1233">
        <f>SUM(L1229:L1232)</f>
        <v>20000</v>
      </c>
    </row>
    <row r="1235" ht="12.75">
      <c r="A1235" t="str">
        <f>"2522 - Inšpektorat RS za okolje in prostor, verzija: 1"</f>
        <v>2522 - Inšpektorat RS za okolje in prostor, verzija: 1</v>
      </c>
    </row>
    <row r="1236" spans="2:13" ht="12.75">
      <c r="B1236" t="s">
        <v>3</v>
      </c>
      <c r="D1236" t="s">
        <v>4</v>
      </c>
      <c r="F1236" t="s">
        <v>5</v>
      </c>
      <c r="H1236" t="s">
        <v>6</v>
      </c>
      <c r="J1236" t="s">
        <v>7</v>
      </c>
      <c r="K1236" s="4" t="s">
        <v>8</v>
      </c>
      <c r="L1236" s="4" t="s">
        <v>9</v>
      </c>
      <c r="M1236" t="s">
        <v>10</v>
      </c>
    </row>
    <row r="1237" spans="2:12" ht="12.75">
      <c r="B1237" t="str">
        <f>"4526"</f>
        <v>4526</v>
      </c>
      <c r="C1237" t="s">
        <v>40</v>
      </c>
      <c r="D1237">
        <v>402510</v>
      </c>
      <c r="E1237" t="s">
        <v>12</v>
      </c>
      <c r="F1237">
        <v>350003</v>
      </c>
      <c r="G1237" t="s">
        <v>44</v>
      </c>
      <c r="H1237">
        <v>35</v>
      </c>
      <c r="I1237" t="s">
        <v>17</v>
      </c>
      <c r="J1237">
        <v>1</v>
      </c>
      <c r="K1237" s="4">
        <v>796</v>
      </c>
      <c r="L1237" s="4">
        <v>796</v>
      </c>
    </row>
    <row r="1238" spans="2:13" ht="12.75">
      <c r="B1238" t="str">
        <f>"7847"</f>
        <v>7847</v>
      </c>
      <c r="C1238" t="s">
        <v>27</v>
      </c>
      <c r="D1238">
        <v>420202</v>
      </c>
      <c r="E1238" t="s">
        <v>19</v>
      </c>
      <c r="F1238">
        <v>10001</v>
      </c>
      <c r="G1238" t="s">
        <v>48</v>
      </c>
      <c r="H1238">
        <v>1</v>
      </c>
      <c r="I1238" t="s">
        <v>21</v>
      </c>
      <c r="J1238">
        <v>38</v>
      </c>
      <c r="K1238" s="4">
        <v>789.47</v>
      </c>
      <c r="L1238" s="4">
        <v>29999.86</v>
      </c>
      <c r="M1238" t="s">
        <v>382</v>
      </c>
    </row>
    <row r="1239" spans="2:12" ht="12.75">
      <c r="B1239" t="str">
        <f>"7847"</f>
        <v>7847</v>
      </c>
      <c r="C1239" t="s">
        <v>27</v>
      </c>
      <c r="D1239">
        <v>420222</v>
      </c>
      <c r="E1239" t="s">
        <v>60</v>
      </c>
      <c r="F1239">
        <v>400012</v>
      </c>
      <c r="G1239" t="s">
        <v>90</v>
      </c>
      <c r="H1239">
        <v>40</v>
      </c>
      <c r="I1239" t="s">
        <v>50</v>
      </c>
      <c r="J1239">
        <v>9</v>
      </c>
      <c r="K1239" s="4">
        <v>2572.22</v>
      </c>
      <c r="L1239" s="4">
        <v>23149.98</v>
      </c>
    </row>
    <row r="1240" spans="2:13" ht="12.75">
      <c r="B1240" t="str">
        <f>"7847"</f>
        <v>7847</v>
      </c>
      <c r="C1240" t="s">
        <v>27</v>
      </c>
      <c r="D1240">
        <v>420238</v>
      </c>
      <c r="E1240" t="s">
        <v>34</v>
      </c>
      <c r="F1240">
        <v>60005</v>
      </c>
      <c r="G1240" t="s">
        <v>25</v>
      </c>
      <c r="H1240">
        <v>6</v>
      </c>
      <c r="I1240" t="s">
        <v>32</v>
      </c>
      <c r="J1240">
        <v>10</v>
      </c>
      <c r="K1240" s="4">
        <v>125</v>
      </c>
      <c r="L1240" s="4">
        <v>1250</v>
      </c>
      <c r="M1240" t="s">
        <v>383</v>
      </c>
    </row>
    <row r="1241" spans="2:12" ht="12.75">
      <c r="B1241" t="str">
        <f>"7847"</f>
        <v>7847</v>
      </c>
      <c r="C1241" t="s">
        <v>27</v>
      </c>
      <c r="D1241">
        <v>420703</v>
      </c>
      <c r="E1241" t="s">
        <v>51</v>
      </c>
      <c r="F1241">
        <v>310008</v>
      </c>
      <c r="G1241" t="s">
        <v>148</v>
      </c>
      <c r="H1241">
        <v>31</v>
      </c>
      <c r="I1241" t="s">
        <v>26</v>
      </c>
      <c r="J1241">
        <v>10</v>
      </c>
      <c r="K1241" s="4">
        <v>350</v>
      </c>
      <c r="L1241" s="4">
        <v>3500</v>
      </c>
    </row>
    <row r="1242" spans="1:2" ht="12.75">
      <c r="A1242" t="s">
        <v>47</v>
      </c>
      <c r="B1242">
        <f>SUM(L1237:L1241)</f>
        <v>58695.84</v>
      </c>
    </row>
    <row r="1244" ht="12.75">
      <c r="A1244" t="str">
        <f>"2523 - Agencija RS za okolje, verzija: 2"</f>
        <v>2523 - Agencija RS za okolje, verzija: 2</v>
      </c>
    </row>
    <row r="1245" spans="2:13" ht="12.75">
      <c r="B1245" t="s">
        <v>3</v>
      </c>
      <c r="D1245" t="s">
        <v>4</v>
      </c>
      <c r="F1245" t="s">
        <v>5</v>
      </c>
      <c r="H1245" t="s">
        <v>6</v>
      </c>
      <c r="J1245" t="s">
        <v>7</v>
      </c>
      <c r="K1245" s="4" t="s">
        <v>8</v>
      </c>
      <c r="L1245" s="4" t="s">
        <v>9</v>
      </c>
      <c r="M1245" t="s">
        <v>10</v>
      </c>
    </row>
    <row r="1246" spans="2:12" ht="12.75">
      <c r="B1246" t="str">
        <f aca="true" t="shared" si="61" ref="B1246:B1252">"2462"</f>
        <v>2462</v>
      </c>
      <c r="C1246" t="s">
        <v>384</v>
      </c>
      <c r="D1246">
        <v>420202</v>
      </c>
      <c r="E1246" t="s">
        <v>19</v>
      </c>
      <c r="F1246">
        <v>10002</v>
      </c>
      <c r="G1246" t="s">
        <v>20</v>
      </c>
      <c r="H1246">
        <v>1</v>
      </c>
      <c r="I1246" t="s">
        <v>21</v>
      </c>
      <c r="J1246">
        <v>5</v>
      </c>
      <c r="K1246" s="4">
        <v>800</v>
      </c>
      <c r="L1246" s="4">
        <v>4000</v>
      </c>
    </row>
    <row r="1247" spans="2:12" ht="12.75">
      <c r="B1247" t="str">
        <f t="shared" si="61"/>
        <v>2462</v>
      </c>
      <c r="C1247" t="s">
        <v>384</v>
      </c>
      <c r="D1247">
        <v>420202</v>
      </c>
      <c r="E1247" t="s">
        <v>19</v>
      </c>
      <c r="F1247">
        <v>10003</v>
      </c>
      <c r="G1247" t="s">
        <v>28</v>
      </c>
      <c r="H1247">
        <v>1</v>
      </c>
      <c r="I1247" t="s">
        <v>21</v>
      </c>
      <c r="J1247">
        <v>2</v>
      </c>
      <c r="K1247" s="4">
        <v>2000</v>
      </c>
      <c r="L1247" s="4">
        <v>4000</v>
      </c>
    </row>
    <row r="1248" spans="2:12" ht="12.75">
      <c r="B1248" t="str">
        <f t="shared" si="61"/>
        <v>2462</v>
      </c>
      <c r="C1248" t="s">
        <v>384</v>
      </c>
      <c r="D1248">
        <v>420202</v>
      </c>
      <c r="E1248" t="s">
        <v>19</v>
      </c>
      <c r="F1248">
        <v>40001</v>
      </c>
      <c r="G1248" t="s">
        <v>59</v>
      </c>
      <c r="H1248">
        <v>4</v>
      </c>
      <c r="I1248" t="s">
        <v>23</v>
      </c>
      <c r="J1248">
        <v>4</v>
      </c>
      <c r="K1248" s="4">
        <v>250</v>
      </c>
      <c r="L1248" s="4">
        <v>1000</v>
      </c>
    </row>
    <row r="1249" spans="2:12" ht="12.75">
      <c r="B1249" t="str">
        <f t="shared" si="61"/>
        <v>2462</v>
      </c>
      <c r="C1249" t="s">
        <v>384</v>
      </c>
      <c r="D1249">
        <v>420202</v>
      </c>
      <c r="E1249" t="s">
        <v>19</v>
      </c>
      <c r="F1249">
        <v>40002</v>
      </c>
      <c r="G1249" t="s">
        <v>22</v>
      </c>
      <c r="H1249">
        <v>4</v>
      </c>
      <c r="I1249" t="s">
        <v>23</v>
      </c>
      <c r="J1249">
        <v>2</v>
      </c>
      <c r="K1249" s="4">
        <v>500</v>
      </c>
      <c r="L1249" s="4">
        <v>1000</v>
      </c>
    </row>
    <row r="1250" spans="2:12" ht="12.75">
      <c r="B1250" t="str">
        <f t="shared" si="61"/>
        <v>2462</v>
      </c>
      <c r="C1250" t="s">
        <v>384</v>
      </c>
      <c r="D1250">
        <v>420238</v>
      </c>
      <c r="E1250" t="s">
        <v>34</v>
      </c>
      <c r="F1250">
        <v>140003</v>
      </c>
      <c r="G1250" t="s">
        <v>385</v>
      </c>
      <c r="H1250">
        <v>14</v>
      </c>
      <c r="I1250" t="s">
        <v>64</v>
      </c>
      <c r="J1250">
        <v>4</v>
      </c>
      <c r="K1250" s="4">
        <v>250</v>
      </c>
      <c r="L1250" s="4">
        <v>1000</v>
      </c>
    </row>
    <row r="1251" spans="2:12" ht="12.75">
      <c r="B1251" t="str">
        <f t="shared" si="61"/>
        <v>2462</v>
      </c>
      <c r="C1251" t="s">
        <v>384</v>
      </c>
      <c r="D1251">
        <v>420238</v>
      </c>
      <c r="E1251" t="s">
        <v>34</v>
      </c>
      <c r="F1251">
        <v>290002</v>
      </c>
      <c r="G1251" t="s">
        <v>198</v>
      </c>
      <c r="H1251">
        <v>29</v>
      </c>
      <c r="I1251" t="s">
        <v>142</v>
      </c>
      <c r="J1251">
        <v>1</v>
      </c>
      <c r="K1251" s="4">
        <v>4000</v>
      </c>
      <c r="L1251" s="4">
        <v>4000</v>
      </c>
    </row>
    <row r="1252" spans="2:12" ht="12.75">
      <c r="B1252" t="str">
        <f t="shared" si="61"/>
        <v>2462</v>
      </c>
      <c r="C1252" t="s">
        <v>384</v>
      </c>
      <c r="D1252">
        <v>420704</v>
      </c>
      <c r="E1252" t="s">
        <v>24</v>
      </c>
      <c r="F1252">
        <v>310007</v>
      </c>
      <c r="G1252" t="s">
        <v>82</v>
      </c>
      <c r="H1252">
        <v>31</v>
      </c>
      <c r="I1252" t="s">
        <v>26</v>
      </c>
      <c r="J1252">
        <v>1</v>
      </c>
      <c r="K1252" s="4">
        <v>15000</v>
      </c>
      <c r="L1252" s="4">
        <v>15000</v>
      </c>
    </row>
    <row r="1253" spans="2:12" ht="12.75">
      <c r="B1253" t="str">
        <f aca="true" t="shared" si="62" ref="B1253:B1284">"2518"</f>
        <v>2518</v>
      </c>
      <c r="C1253" t="s">
        <v>386</v>
      </c>
      <c r="D1253">
        <v>402007</v>
      </c>
      <c r="E1253" t="s">
        <v>41</v>
      </c>
      <c r="F1253">
        <v>410001</v>
      </c>
      <c r="G1253" t="s">
        <v>13</v>
      </c>
      <c r="H1253">
        <v>41</v>
      </c>
      <c r="I1253" t="s">
        <v>14</v>
      </c>
      <c r="J1253">
        <v>1</v>
      </c>
      <c r="K1253" s="4">
        <v>3000</v>
      </c>
      <c r="L1253" s="4">
        <v>3000</v>
      </c>
    </row>
    <row r="1254" spans="2:12" ht="12.75">
      <c r="B1254" t="str">
        <f t="shared" si="62"/>
        <v>2518</v>
      </c>
      <c r="C1254" t="s">
        <v>386</v>
      </c>
      <c r="D1254">
        <v>402007</v>
      </c>
      <c r="E1254" t="s">
        <v>41</v>
      </c>
      <c r="F1254">
        <v>410003</v>
      </c>
      <c r="G1254" t="s">
        <v>125</v>
      </c>
      <c r="H1254">
        <v>41</v>
      </c>
      <c r="I1254" t="s">
        <v>14</v>
      </c>
      <c r="J1254">
        <v>1</v>
      </c>
      <c r="K1254" s="4">
        <v>5000</v>
      </c>
      <c r="L1254" s="4">
        <v>5000</v>
      </c>
    </row>
    <row r="1255" spans="2:12" ht="12.75">
      <c r="B1255" t="str">
        <f t="shared" si="62"/>
        <v>2518</v>
      </c>
      <c r="C1255" t="s">
        <v>386</v>
      </c>
      <c r="D1255">
        <v>402007</v>
      </c>
      <c r="E1255" t="s">
        <v>41</v>
      </c>
      <c r="F1255">
        <v>410004</v>
      </c>
      <c r="G1255" t="s">
        <v>265</v>
      </c>
      <c r="H1255">
        <v>41</v>
      </c>
      <c r="I1255" t="s">
        <v>14</v>
      </c>
      <c r="J1255">
        <v>1</v>
      </c>
      <c r="K1255" s="4">
        <v>3000</v>
      </c>
      <c r="L1255" s="4">
        <v>3000</v>
      </c>
    </row>
    <row r="1256" spans="2:12" ht="12.75">
      <c r="B1256" t="str">
        <f t="shared" si="62"/>
        <v>2518</v>
      </c>
      <c r="C1256" t="s">
        <v>386</v>
      </c>
      <c r="D1256">
        <v>402007</v>
      </c>
      <c r="E1256" t="s">
        <v>41</v>
      </c>
      <c r="F1256">
        <v>420002</v>
      </c>
      <c r="G1256" t="s">
        <v>126</v>
      </c>
      <c r="H1256">
        <v>42</v>
      </c>
      <c r="I1256" t="s">
        <v>101</v>
      </c>
      <c r="J1256">
        <v>1</v>
      </c>
      <c r="K1256" s="4">
        <v>19000</v>
      </c>
      <c r="L1256" s="4">
        <v>19000</v>
      </c>
    </row>
    <row r="1257" spans="2:12" ht="12.75">
      <c r="B1257" t="str">
        <f t="shared" si="62"/>
        <v>2518</v>
      </c>
      <c r="C1257" t="s">
        <v>386</v>
      </c>
      <c r="D1257">
        <v>402007</v>
      </c>
      <c r="E1257" t="s">
        <v>41</v>
      </c>
      <c r="F1257">
        <v>420002</v>
      </c>
      <c r="G1257" t="s">
        <v>126</v>
      </c>
      <c r="H1257">
        <v>42</v>
      </c>
      <c r="I1257" t="s">
        <v>101</v>
      </c>
      <c r="J1257">
        <v>1</v>
      </c>
      <c r="K1257" s="4">
        <v>10000</v>
      </c>
      <c r="L1257" s="4">
        <v>10000</v>
      </c>
    </row>
    <row r="1258" spans="2:12" ht="12.75">
      <c r="B1258" t="str">
        <f t="shared" si="62"/>
        <v>2518</v>
      </c>
      <c r="C1258" t="s">
        <v>386</v>
      </c>
      <c r="D1258">
        <v>402007</v>
      </c>
      <c r="E1258" t="s">
        <v>41</v>
      </c>
      <c r="F1258">
        <v>420002</v>
      </c>
      <c r="G1258" t="s">
        <v>126</v>
      </c>
      <c r="H1258">
        <v>42</v>
      </c>
      <c r="I1258" t="s">
        <v>101</v>
      </c>
      <c r="J1258">
        <v>1</v>
      </c>
      <c r="K1258" s="4">
        <v>4769.95</v>
      </c>
      <c r="L1258" s="4">
        <v>4769.95</v>
      </c>
    </row>
    <row r="1259" spans="2:12" ht="12.75">
      <c r="B1259" t="str">
        <f t="shared" si="62"/>
        <v>2518</v>
      </c>
      <c r="C1259" t="s">
        <v>386</v>
      </c>
      <c r="D1259">
        <v>402011</v>
      </c>
      <c r="E1259" t="s">
        <v>54</v>
      </c>
      <c r="F1259">
        <v>390001</v>
      </c>
      <c r="G1259" t="s">
        <v>306</v>
      </c>
      <c r="H1259">
        <v>39</v>
      </c>
      <c r="I1259" t="s">
        <v>141</v>
      </c>
      <c r="J1259">
        <v>1</v>
      </c>
      <c r="K1259" s="4">
        <v>25000</v>
      </c>
      <c r="L1259" s="4">
        <v>25000</v>
      </c>
    </row>
    <row r="1260" spans="2:12" ht="12.75">
      <c r="B1260" t="str">
        <f t="shared" si="62"/>
        <v>2518</v>
      </c>
      <c r="C1260" t="s">
        <v>386</v>
      </c>
      <c r="D1260">
        <v>402510</v>
      </c>
      <c r="E1260" t="s">
        <v>12</v>
      </c>
      <c r="F1260">
        <v>350010</v>
      </c>
      <c r="G1260" t="s">
        <v>173</v>
      </c>
      <c r="H1260">
        <v>35</v>
      </c>
      <c r="I1260" t="s">
        <v>17</v>
      </c>
      <c r="J1260">
        <v>1</v>
      </c>
      <c r="K1260" s="4">
        <v>2513.45</v>
      </c>
      <c r="L1260" s="4">
        <v>2513.45</v>
      </c>
    </row>
    <row r="1261" spans="2:12" ht="12.75">
      <c r="B1261" t="str">
        <f t="shared" si="62"/>
        <v>2518</v>
      </c>
      <c r="C1261" t="s">
        <v>386</v>
      </c>
      <c r="D1261">
        <v>402510</v>
      </c>
      <c r="E1261" t="s">
        <v>12</v>
      </c>
      <c r="F1261">
        <v>400014</v>
      </c>
      <c r="G1261" t="s">
        <v>38</v>
      </c>
      <c r="H1261">
        <v>40</v>
      </c>
      <c r="I1261" t="s">
        <v>50</v>
      </c>
      <c r="J1261">
        <v>1</v>
      </c>
      <c r="K1261" s="4">
        <v>8000</v>
      </c>
      <c r="L1261" s="4">
        <v>8000</v>
      </c>
    </row>
    <row r="1262" spans="2:12" ht="12.75">
      <c r="B1262" t="str">
        <f t="shared" si="62"/>
        <v>2518</v>
      </c>
      <c r="C1262" t="s">
        <v>386</v>
      </c>
      <c r="D1262">
        <v>402510</v>
      </c>
      <c r="E1262" t="s">
        <v>12</v>
      </c>
      <c r="F1262">
        <v>400022</v>
      </c>
      <c r="G1262" t="s">
        <v>142</v>
      </c>
      <c r="H1262">
        <v>40</v>
      </c>
      <c r="I1262" t="s">
        <v>50</v>
      </c>
      <c r="J1262">
        <v>1</v>
      </c>
      <c r="K1262" s="4">
        <v>6000</v>
      </c>
      <c r="L1262" s="4">
        <v>6000</v>
      </c>
    </row>
    <row r="1263" spans="2:12" ht="12.75">
      <c r="B1263" t="str">
        <f t="shared" si="62"/>
        <v>2518</v>
      </c>
      <c r="C1263" t="s">
        <v>386</v>
      </c>
      <c r="D1263">
        <v>402513</v>
      </c>
      <c r="E1263" t="s">
        <v>85</v>
      </c>
      <c r="F1263">
        <v>310007</v>
      </c>
      <c r="G1263" t="s">
        <v>82</v>
      </c>
      <c r="H1263">
        <v>31</v>
      </c>
      <c r="I1263" t="s">
        <v>26</v>
      </c>
      <c r="J1263">
        <v>1</v>
      </c>
      <c r="K1263" s="4">
        <v>20000</v>
      </c>
      <c r="L1263" s="4">
        <v>20000</v>
      </c>
    </row>
    <row r="1264" spans="2:12" ht="12.75">
      <c r="B1264" t="str">
        <f t="shared" si="62"/>
        <v>2518</v>
      </c>
      <c r="C1264" t="s">
        <v>386</v>
      </c>
      <c r="D1264">
        <v>402513</v>
      </c>
      <c r="E1264" t="s">
        <v>85</v>
      </c>
      <c r="F1264">
        <v>410001</v>
      </c>
      <c r="G1264" t="s">
        <v>13</v>
      </c>
      <c r="H1264">
        <v>41</v>
      </c>
      <c r="I1264" t="s">
        <v>14</v>
      </c>
      <c r="J1264">
        <v>1</v>
      </c>
      <c r="K1264" s="4">
        <v>1600</v>
      </c>
      <c r="L1264" s="4">
        <v>1600</v>
      </c>
    </row>
    <row r="1265" spans="2:12" ht="12.75">
      <c r="B1265" t="str">
        <f t="shared" si="62"/>
        <v>2518</v>
      </c>
      <c r="C1265" t="s">
        <v>386</v>
      </c>
      <c r="D1265">
        <v>402513</v>
      </c>
      <c r="E1265" t="s">
        <v>85</v>
      </c>
      <c r="F1265">
        <v>410001</v>
      </c>
      <c r="G1265" t="s">
        <v>13</v>
      </c>
      <c r="H1265">
        <v>41</v>
      </c>
      <c r="I1265" t="s">
        <v>14</v>
      </c>
      <c r="J1265">
        <v>1</v>
      </c>
      <c r="K1265" s="4">
        <v>5000</v>
      </c>
      <c r="L1265" s="4">
        <v>5000</v>
      </c>
    </row>
    <row r="1266" spans="2:12" ht="12.75">
      <c r="B1266" t="str">
        <f t="shared" si="62"/>
        <v>2518</v>
      </c>
      <c r="C1266" t="s">
        <v>386</v>
      </c>
      <c r="D1266">
        <v>402513</v>
      </c>
      <c r="E1266" t="s">
        <v>85</v>
      </c>
      <c r="F1266">
        <v>410001</v>
      </c>
      <c r="G1266" t="s">
        <v>13</v>
      </c>
      <c r="H1266">
        <v>41</v>
      </c>
      <c r="I1266" t="s">
        <v>14</v>
      </c>
      <c r="J1266">
        <v>1</v>
      </c>
      <c r="K1266" s="4">
        <v>7000</v>
      </c>
      <c r="L1266" s="4">
        <v>7000</v>
      </c>
    </row>
    <row r="1267" spans="2:12" ht="12.75">
      <c r="B1267" t="str">
        <f t="shared" si="62"/>
        <v>2518</v>
      </c>
      <c r="C1267" t="s">
        <v>386</v>
      </c>
      <c r="D1267">
        <v>402513</v>
      </c>
      <c r="E1267" t="s">
        <v>85</v>
      </c>
      <c r="F1267">
        <v>410001</v>
      </c>
      <c r="G1267" t="s">
        <v>13</v>
      </c>
      <c r="H1267">
        <v>41</v>
      </c>
      <c r="I1267" t="s">
        <v>14</v>
      </c>
      <c r="J1267">
        <v>1</v>
      </c>
      <c r="K1267" s="4">
        <v>3000</v>
      </c>
      <c r="L1267" s="4">
        <v>3000</v>
      </c>
    </row>
    <row r="1268" spans="2:12" ht="12.75">
      <c r="B1268" t="str">
        <f t="shared" si="62"/>
        <v>2518</v>
      </c>
      <c r="C1268" t="s">
        <v>386</v>
      </c>
      <c r="D1268">
        <v>402513</v>
      </c>
      <c r="E1268" t="s">
        <v>85</v>
      </c>
      <c r="F1268">
        <v>410001</v>
      </c>
      <c r="G1268" t="s">
        <v>13</v>
      </c>
      <c r="H1268">
        <v>41</v>
      </c>
      <c r="I1268" t="s">
        <v>14</v>
      </c>
      <c r="J1268">
        <v>2</v>
      </c>
      <c r="K1268" s="4">
        <v>12500</v>
      </c>
      <c r="L1268" s="4">
        <v>25000</v>
      </c>
    </row>
    <row r="1269" spans="2:12" ht="12.75">
      <c r="B1269" t="str">
        <f t="shared" si="62"/>
        <v>2518</v>
      </c>
      <c r="C1269" t="s">
        <v>386</v>
      </c>
      <c r="D1269">
        <v>402513</v>
      </c>
      <c r="E1269" t="s">
        <v>85</v>
      </c>
      <c r="F1269">
        <v>410001</v>
      </c>
      <c r="G1269" t="s">
        <v>13</v>
      </c>
      <c r="H1269">
        <v>41</v>
      </c>
      <c r="I1269" t="s">
        <v>14</v>
      </c>
      <c r="J1269">
        <v>1</v>
      </c>
      <c r="K1269" s="4">
        <v>5000</v>
      </c>
      <c r="L1269" s="4">
        <v>5000</v>
      </c>
    </row>
    <row r="1270" spans="2:12" ht="12.75">
      <c r="B1270" t="str">
        <f t="shared" si="62"/>
        <v>2518</v>
      </c>
      <c r="C1270" t="s">
        <v>386</v>
      </c>
      <c r="D1270">
        <v>402513</v>
      </c>
      <c r="E1270" t="s">
        <v>85</v>
      </c>
      <c r="F1270">
        <v>410001</v>
      </c>
      <c r="G1270" t="s">
        <v>13</v>
      </c>
      <c r="H1270">
        <v>41</v>
      </c>
      <c r="I1270" t="s">
        <v>14</v>
      </c>
      <c r="J1270">
        <v>1</v>
      </c>
      <c r="K1270" s="4">
        <v>4600</v>
      </c>
      <c r="L1270" s="4">
        <v>4600</v>
      </c>
    </row>
    <row r="1271" spans="2:12" ht="12.75">
      <c r="B1271" t="str">
        <f t="shared" si="62"/>
        <v>2518</v>
      </c>
      <c r="C1271" t="s">
        <v>386</v>
      </c>
      <c r="D1271">
        <v>402513</v>
      </c>
      <c r="E1271" t="s">
        <v>85</v>
      </c>
      <c r="F1271">
        <v>410001</v>
      </c>
      <c r="G1271" t="s">
        <v>13</v>
      </c>
      <c r="H1271">
        <v>41</v>
      </c>
      <c r="I1271" t="s">
        <v>14</v>
      </c>
      <c r="J1271">
        <v>1</v>
      </c>
      <c r="K1271" s="4">
        <v>4000</v>
      </c>
      <c r="L1271" s="4">
        <v>4000</v>
      </c>
    </row>
    <row r="1272" spans="2:12" ht="12.75">
      <c r="B1272" t="str">
        <f t="shared" si="62"/>
        <v>2518</v>
      </c>
      <c r="C1272" t="s">
        <v>386</v>
      </c>
      <c r="D1272">
        <v>402513</v>
      </c>
      <c r="E1272" t="s">
        <v>85</v>
      </c>
      <c r="F1272">
        <v>410001</v>
      </c>
      <c r="G1272" t="s">
        <v>13</v>
      </c>
      <c r="H1272">
        <v>41</v>
      </c>
      <c r="I1272" t="s">
        <v>14</v>
      </c>
      <c r="J1272">
        <v>1</v>
      </c>
      <c r="K1272" s="4">
        <v>50000</v>
      </c>
      <c r="L1272" s="4">
        <v>50000</v>
      </c>
    </row>
    <row r="1273" spans="2:12" ht="12.75">
      <c r="B1273" t="str">
        <f t="shared" si="62"/>
        <v>2518</v>
      </c>
      <c r="C1273" t="s">
        <v>386</v>
      </c>
      <c r="D1273">
        <v>402513</v>
      </c>
      <c r="E1273" t="s">
        <v>85</v>
      </c>
      <c r="F1273">
        <v>410001</v>
      </c>
      <c r="G1273" t="s">
        <v>13</v>
      </c>
      <c r="H1273">
        <v>41</v>
      </c>
      <c r="I1273" t="s">
        <v>14</v>
      </c>
      <c r="J1273">
        <v>1</v>
      </c>
      <c r="K1273" s="4">
        <v>17300</v>
      </c>
      <c r="L1273" s="4">
        <v>17300</v>
      </c>
    </row>
    <row r="1274" spans="2:12" ht="12.75">
      <c r="B1274" t="str">
        <f t="shared" si="62"/>
        <v>2518</v>
      </c>
      <c r="C1274" t="s">
        <v>386</v>
      </c>
      <c r="D1274">
        <v>402513</v>
      </c>
      <c r="E1274" t="s">
        <v>85</v>
      </c>
      <c r="F1274">
        <v>410001</v>
      </c>
      <c r="G1274" t="s">
        <v>13</v>
      </c>
      <c r="H1274">
        <v>41</v>
      </c>
      <c r="I1274" t="s">
        <v>14</v>
      </c>
      <c r="J1274">
        <v>1</v>
      </c>
      <c r="K1274" s="4">
        <v>1804</v>
      </c>
      <c r="L1274" s="4">
        <v>1804</v>
      </c>
    </row>
    <row r="1275" spans="2:12" ht="12.75">
      <c r="B1275" t="str">
        <f t="shared" si="62"/>
        <v>2518</v>
      </c>
      <c r="C1275" t="s">
        <v>386</v>
      </c>
      <c r="D1275">
        <v>402513</v>
      </c>
      <c r="E1275" t="s">
        <v>85</v>
      </c>
      <c r="F1275">
        <v>410001</v>
      </c>
      <c r="G1275" t="s">
        <v>13</v>
      </c>
      <c r="H1275">
        <v>41</v>
      </c>
      <c r="I1275" t="s">
        <v>14</v>
      </c>
      <c r="J1275">
        <v>1</v>
      </c>
      <c r="K1275" s="4">
        <v>9000</v>
      </c>
      <c r="L1275" s="4">
        <v>9000</v>
      </c>
    </row>
    <row r="1276" spans="2:12" ht="12.75">
      <c r="B1276" t="str">
        <f t="shared" si="62"/>
        <v>2518</v>
      </c>
      <c r="C1276" t="s">
        <v>386</v>
      </c>
      <c r="D1276">
        <v>402513</v>
      </c>
      <c r="E1276" t="s">
        <v>85</v>
      </c>
      <c r="F1276">
        <v>410001</v>
      </c>
      <c r="G1276" t="s">
        <v>13</v>
      </c>
      <c r="H1276">
        <v>41</v>
      </c>
      <c r="I1276" t="s">
        <v>14</v>
      </c>
      <c r="J1276">
        <v>2</v>
      </c>
      <c r="K1276" s="4">
        <v>4000</v>
      </c>
      <c r="L1276" s="4">
        <v>8000</v>
      </c>
    </row>
    <row r="1277" spans="2:12" ht="12.75">
      <c r="B1277" t="str">
        <f t="shared" si="62"/>
        <v>2518</v>
      </c>
      <c r="C1277" t="s">
        <v>386</v>
      </c>
      <c r="D1277">
        <v>402513</v>
      </c>
      <c r="E1277" t="s">
        <v>85</v>
      </c>
      <c r="F1277">
        <v>410001</v>
      </c>
      <c r="G1277" t="s">
        <v>13</v>
      </c>
      <c r="H1277">
        <v>41</v>
      </c>
      <c r="I1277" t="s">
        <v>14</v>
      </c>
      <c r="J1277">
        <v>1</v>
      </c>
      <c r="K1277" s="4">
        <v>1422</v>
      </c>
      <c r="L1277" s="4">
        <v>1422</v>
      </c>
    </row>
    <row r="1278" spans="2:12" ht="12.75">
      <c r="B1278" t="str">
        <f t="shared" si="62"/>
        <v>2518</v>
      </c>
      <c r="C1278" t="s">
        <v>386</v>
      </c>
      <c r="D1278">
        <v>402513</v>
      </c>
      <c r="E1278" t="s">
        <v>85</v>
      </c>
      <c r="F1278">
        <v>410003</v>
      </c>
      <c r="G1278" t="s">
        <v>125</v>
      </c>
      <c r="H1278">
        <v>41</v>
      </c>
      <c r="I1278" t="s">
        <v>14</v>
      </c>
      <c r="J1278">
        <v>1</v>
      </c>
      <c r="K1278" s="4">
        <v>5000</v>
      </c>
      <c r="L1278" s="4">
        <v>5000</v>
      </c>
    </row>
    <row r="1279" spans="2:12" ht="12.75">
      <c r="B1279" t="str">
        <f t="shared" si="62"/>
        <v>2518</v>
      </c>
      <c r="C1279" t="s">
        <v>386</v>
      </c>
      <c r="D1279">
        <v>402513</v>
      </c>
      <c r="E1279" t="s">
        <v>85</v>
      </c>
      <c r="F1279">
        <v>420002</v>
      </c>
      <c r="G1279" t="s">
        <v>126</v>
      </c>
      <c r="H1279">
        <v>42</v>
      </c>
      <c r="I1279" t="s">
        <v>101</v>
      </c>
      <c r="J1279">
        <v>1</v>
      </c>
      <c r="K1279" s="4">
        <v>9400</v>
      </c>
      <c r="L1279" s="4">
        <v>9400</v>
      </c>
    </row>
    <row r="1280" spans="2:12" ht="12.75">
      <c r="B1280" t="str">
        <f t="shared" si="62"/>
        <v>2518</v>
      </c>
      <c r="C1280" t="s">
        <v>386</v>
      </c>
      <c r="D1280">
        <v>402514</v>
      </c>
      <c r="E1280" t="s">
        <v>45</v>
      </c>
      <c r="F1280">
        <v>310001</v>
      </c>
      <c r="G1280" t="s">
        <v>175</v>
      </c>
      <c r="H1280">
        <v>31</v>
      </c>
      <c r="I1280" t="s">
        <v>26</v>
      </c>
      <c r="J1280">
        <v>1</v>
      </c>
      <c r="K1280" s="4">
        <v>850</v>
      </c>
      <c r="L1280" s="4">
        <v>850</v>
      </c>
    </row>
    <row r="1281" spans="2:12" ht="12.75">
      <c r="B1281" t="str">
        <f t="shared" si="62"/>
        <v>2518</v>
      </c>
      <c r="C1281" t="s">
        <v>386</v>
      </c>
      <c r="D1281">
        <v>402514</v>
      </c>
      <c r="E1281" t="s">
        <v>45</v>
      </c>
      <c r="F1281">
        <v>310001</v>
      </c>
      <c r="G1281" t="s">
        <v>175</v>
      </c>
      <c r="H1281">
        <v>31</v>
      </c>
      <c r="I1281" t="s">
        <v>26</v>
      </c>
      <c r="J1281">
        <v>1</v>
      </c>
      <c r="K1281" s="4">
        <v>1000</v>
      </c>
      <c r="L1281" s="4">
        <v>1000</v>
      </c>
    </row>
    <row r="1282" spans="2:12" ht="12.75">
      <c r="B1282" t="str">
        <f t="shared" si="62"/>
        <v>2518</v>
      </c>
      <c r="C1282" t="s">
        <v>386</v>
      </c>
      <c r="D1282">
        <v>402514</v>
      </c>
      <c r="E1282" t="s">
        <v>45</v>
      </c>
      <c r="F1282">
        <v>310003</v>
      </c>
      <c r="G1282" t="s">
        <v>125</v>
      </c>
      <c r="H1282">
        <v>31</v>
      </c>
      <c r="I1282" t="s">
        <v>26</v>
      </c>
      <c r="J1282">
        <v>1</v>
      </c>
      <c r="K1282" s="4">
        <v>8816</v>
      </c>
      <c r="L1282" s="4">
        <v>8816</v>
      </c>
    </row>
    <row r="1283" spans="2:12" ht="12.75">
      <c r="B1283" t="str">
        <f t="shared" si="62"/>
        <v>2518</v>
      </c>
      <c r="C1283" t="s">
        <v>386</v>
      </c>
      <c r="D1283">
        <v>402514</v>
      </c>
      <c r="E1283" t="s">
        <v>45</v>
      </c>
      <c r="F1283">
        <v>310003</v>
      </c>
      <c r="G1283" t="s">
        <v>125</v>
      </c>
      <c r="H1283">
        <v>31</v>
      </c>
      <c r="I1283" t="s">
        <v>26</v>
      </c>
      <c r="J1283">
        <v>1</v>
      </c>
      <c r="K1283" s="4">
        <v>10000</v>
      </c>
      <c r="L1283" s="4">
        <v>10000</v>
      </c>
    </row>
    <row r="1284" spans="2:12" ht="12.75">
      <c r="B1284" t="str">
        <f t="shared" si="62"/>
        <v>2518</v>
      </c>
      <c r="C1284" t="s">
        <v>386</v>
      </c>
      <c r="D1284">
        <v>402514</v>
      </c>
      <c r="E1284" t="s">
        <v>45</v>
      </c>
      <c r="F1284">
        <v>310007</v>
      </c>
      <c r="G1284" t="s">
        <v>82</v>
      </c>
      <c r="H1284">
        <v>31</v>
      </c>
      <c r="I1284" t="s">
        <v>26</v>
      </c>
      <c r="J1284">
        <v>1</v>
      </c>
      <c r="K1284" s="4">
        <v>13500</v>
      </c>
      <c r="L1284" s="4">
        <v>13500</v>
      </c>
    </row>
    <row r="1285" spans="2:12" ht="12.75">
      <c r="B1285" t="str">
        <f aca="true" t="shared" si="63" ref="B1285:B1316">"2518"</f>
        <v>2518</v>
      </c>
      <c r="C1285" t="s">
        <v>386</v>
      </c>
      <c r="D1285">
        <v>402514</v>
      </c>
      <c r="E1285" t="s">
        <v>45</v>
      </c>
      <c r="F1285">
        <v>310007</v>
      </c>
      <c r="G1285" t="s">
        <v>82</v>
      </c>
      <c r="H1285">
        <v>31</v>
      </c>
      <c r="I1285" t="s">
        <v>26</v>
      </c>
      <c r="J1285">
        <v>1</v>
      </c>
      <c r="K1285" s="4">
        <v>30000</v>
      </c>
      <c r="L1285" s="4">
        <v>30000</v>
      </c>
    </row>
    <row r="1286" spans="2:12" ht="12.75">
      <c r="B1286" t="str">
        <f t="shared" si="63"/>
        <v>2518</v>
      </c>
      <c r="C1286" t="s">
        <v>386</v>
      </c>
      <c r="D1286">
        <v>402514</v>
      </c>
      <c r="E1286" t="s">
        <v>45</v>
      </c>
      <c r="F1286">
        <v>310007</v>
      </c>
      <c r="G1286" t="s">
        <v>82</v>
      </c>
      <c r="H1286">
        <v>31</v>
      </c>
      <c r="I1286" t="s">
        <v>26</v>
      </c>
      <c r="J1286">
        <v>1</v>
      </c>
      <c r="K1286" s="4">
        <v>14000</v>
      </c>
      <c r="L1286" s="4">
        <v>14000</v>
      </c>
    </row>
    <row r="1287" spans="2:12" ht="12.75">
      <c r="B1287" t="str">
        <f t="shared" si="63"/>
        <v>2518</v>
      </c>
      <c r="C1287" t="s">
        <v>386</v>
      </c>
      <c r="D1287">
        <v>402515</v>
      </c>
      <c r="E1287" t="s">
        <v>15</v>
      </c>
      <c r="F1287">
        <v>230001</v>
      </c>
      <c r="G1287" t="s">
        <v>236</v>
      </c>
      <c r="H1287">
        <v>23</v>
      </c>
      <c r="I1287" t="s">
        <v>143</v>
      </c>
      <c r="J1287">
        <v>1</v>
      </c>
      <c r="K1287" s="4">
        <v>3500</v>
      </c>
      <c r="L1287" s="4">
        <v>3500</v>
      </c>
    </row>
    <row r="1288" spans="2:12" ht="12.75">
      <c r="B1288" t="str">
        <f t="shared" si="63"/>
        <v>2518</v>
      </c>
      <c r="C1288" t="s">
        <v>386</v>
      </c>
      <c r="D1288">
        <v>402515</v>
      </c>
      <c r="E1288" t="s">
        <v>15</v>
      </c>
      <c r="F1288">
        <v>350001</v>
      </c>
      <c r="G1288" t="s">
        <v>16</v>
      </c>
      <c r="H1288">
        <v>35</v>
      </c>
      <c r="I1288" t="s">
        <v>17</v>
      </c>
      <c r="J1288">
        <v>1</v>
      </c>
      <c r="K1288" s="4">
        <v>60000</v>
      </c>
      <c r="L1288" s="4">
        <v>60000</v>
      </c>
    </row>
    <row r="1289" spans="2:12" ht="12.75">
      <c r="B1289" t="str">
        <f t="shared" si="63"/>
        <v>2518</v>
      </c>
      <c r="C1289" t="s">
        <v>386</v>
      </c>
      <c r="D1289">
        <v>402515</v>
      </c>
      <c r="E1289" t="s">
        <v>15</v>
      </c>
      <c r="F1289">
        <v>400012</v>
      </c>
      <c r="G1289" t="s">
        <v>90</v>
      </c>
      <c r="H1289">
        <v>40</v>
      </c>
      <c r="I1289" t="s">
        <v>50</v>
      </c>
      <c r="J1289">
        <v>1</v>
      </c>
      <c r="K1289" s="4">
        <v>40000</v>
      </c>
      <c r="L1289" s="4">
        <v>40000</v>
      </c>
    </row>
    <row r="1290" spans="2:12" ht="12.75">
      <c r="B1290" t="str">
        <f t="shared" si="63"/>
        <v>2518</v>
      </c>
      <c r="C1290" t="s">
        <v>386</v>
      </c>
      <c r="D1290">
        <v>402516</v>
      </c>
      <c r="E1290" t="s">
        <v>109</v>
      </c>
      <c r="F1290">
        <v>350006</v>
      </c>
      <c r="G1290" t="s">
        <v>239</v>
      </c>
      <c r="H1290">
        <v>35</v>
      </c>
      <c r="I1290" t="s">
        <v>17</v>
      </c>
      <c r="J1290">
        <v>1</v>
      </c>
      <c r="K1290" s="4">
        <v>7000</v>
      </c>
      <c r="L1290" s="4">
        <v>7000</v>
      </c>
    </row>
    <row r="1291" spans="2:12" ht="12.75">
      <c r="B1291" t="str">
        <f t="shared" si="63"/>
        <v>2518</v>
      </c>
      <c r="C1291" t="s">
        <v>386</v>
      </c>
      <c r="D1291">
        <v>402516</v>
      </c>
      <c r="E1291" t="s">
        <v>109</v>
      </c>
      <c r="F1291">
        <v>400024</v>
      </c>
      <c r="G1291" t="s">
        <v>25</v>
      </c>
      <c r="H1291">
        <v>40</v>
      </c>
      <c r="I1291" t="s">
        <v>50</v>
      </c>
      <c r="J1291">
        <v>1</v>
      </c>
      <c r="K1291" s="4">
        <v>1000</v>
      </c>
      <c r="L1291" s="4">
        <v>1000</v>
      </c>
    </row>
    <row r="1292" spans="2:12" ht="12.75">
      <c r="B1292" t="str">
        <f t="shared" si="63"/>
        <v>2518</v>
      </c>
      <c r="C1292" t="s">
        <v>386</v>
      </c>
      <c r="D1292">
        <v>420202</v>
      </c>
      <c r="E1292" t="s">
        <v>19</v>
      </c>
      <c r="F1292">
        <v>10002</v>
      </c>
      <c r="G1292" t="s">
        <v>20</v>
      </c>
      <c r="H1292">
        <v>1</v>
      </c>
      <c r="I1292" t="s">
        <v>21</v>
      </c>
      <c r="J1292">
        <v>1</v>
      </c>
      <c r="K1292" s="4">
        <v>40000</v>
      </c>
      <c r="L1292" s="4">
        <v>40000</v>
      </c>
    </row>
    <row r="1293" spans="2:12" ht="12.75">
      <c r="B1293" t="str">
        <f t="shared" si="63"/>
        <v>2518</v>
      </c>
      <c r="C1293" t="s">
        <v>386</v>
      </c>
      <c r="D1293">
        <v>420202</v>
      </c>
      <c r="E1293" t="s">
        <v>19</v>
      </c>
      <c r="F1293">
        <v>20001</v>
      </c>
      <c r="G1293" t="s">
        <v>29</v>
      </c>
      <c r="H1293">
        <v>2</v>
      </c>
      <c r="I1293" t="s">
        <v>30</v>
      </c>
      <c r="J1293">
        <v>1</v>
      </c>
      <c r="K1293" s="4">
        <v>8000</v>
      </c>
      <c r="L1293" s="4">
        <v>8000</v>
      </c>
    </row>
    <row r="1294" spans="2:12" ht="12.75">
      <c r="B1294" t="str">
        <f t="shared" si="63"/>
        <v>2518</v>
      </c>
      <c r="C1294" t="s">
        <v>386</v>
      </c>
      <c r="D1294">
        <v>420202</v>
      </c>
      <c r="E1294" t="s">
        <v>19</v>
      </c>
      <c r="F1294">
        <v>30001</v>
      </c>
      <c r="G1294" t="s">
        <v>235</v>
      </c>
      <c r="H1294">
        <v>3</v>
      </c>
      <c r="I1294" t="s">
        <v>78</v>
      </c>
      <c r="J1294">
        <v>1</v>
      </c>
      <c r="K1294" s="4">
        <v>2000</v>
      </c>
      <c r="L1294" s="4">
        <v>2000</v>
      </c>
    </row>
    <row r="1295" spans="2:12" ht="12.75">
      <c r="B1295" t="str">
        <f t="shared" si="63"/>
        <v>2518</v>
      </c>
      <c r="C1295" t="s">
        <v>386</v>
      </c>
      <c r="D1295">
        <v>420202</v>
      </c>
      <c r="E1295" t="s">
        <v>19</v>
      </c>
      <c r="F1295">
        <v>40003</v>
      </c>
      <c r="G1295" t="s">
        <v>72</v>
      </c>
      <c r="H1295">
        <v>4</v>
      </c>
      <c r="I1295" t="s">
        <v>23</v>
      </c>
      <c r="J1295">
        <v>1</v>
      </c>
      <c r="K1295" s="4">
        <v>4000</v>
      </c>
      <c r="L1295" s="4">
        <v>4000</v>
      </c>
    </row>
    <row r="1296" spans="2:12" ht="12.75">
      <c r="B1296" t="str">
        <f t="shared" si="63"/>
        <v>2518</v>
      </c>
      <c r="C1296" t="s">
        <v>386</v>
      </c>
      <c r="D1296">
        <v>420202</v>
      </c>
      <c r="E1296" t="s">
        <v>19</v>
      </c>
      <c r="F1296">
        <v>60002</v>
      </c>
      <c r="G1296" t="s">
        <v>31</v>
      </c>
      <c r="H1296">
        <v>6</v>
      </c>
      <c r="I1296" t="s">
        <v>32</v>
      </c>
      <c r="J1296">
        <v>1</v>
      </c>
      <c r="K1296" s="4">
        <v>8000</v>
      </c>
      <c r="L1296" s="4">
        <v>8000</v>
      </c>
    </row>
    <row r="1297" spans="2:12" ht="12.75">
      <c r="B1297" t="str">
        <f t="shared" si="63"/>
        <v>2518</v>
      </c>
      <c r="C1297" t="s">
        <v>386</v>
      </c>
      <c r="D1297">
        <v>420202</v>
      </c>
      <c r="E1297" t="s">
        <v>19</v>
      </c>
      <c r="F1297">
        <v>190008</v>
      </c>
      <c r="G1297" t="s">
        <v>87</v>
      </c>
      <c r="H1297">
        <v>19</v>
      </c>
      <c r="I1297" t="s">
        <v>62</v>
      </c>
      <c r="J1297">
        <v>1</v>
      </c>
      <c r="K1297" s="4">
        <v>30000</v>
      </c>
      <c r="L1297" s="4">
        <v>30000</v>
      </c>
    </row>
    <row r="1298" spans="2:12" ht="12.75">
      <c r="B1298" t="str">
        <f t="shared" si="63"/>
        <v>2518</v>
      </c>
      <c r="C1298" t="s">
        <v>386</v>
      </c>
      <c r="D1298">
        <v>420202</v>
      </c>
      <c r="E1298" t="s">
        <v>19</v>
      </c>
      <c r="F1298">
        <v>240007</v>
      </c>
      <c r="G1298" t="s">
        <v>303</v>
      </c>
      <c r="H1298">
        <v>24</v>
      </c>
      <c r="I1298" t="s">
        <v>118</v>
      </c>
      <c r="J1298">
        <v>1</v>
      </c>
      <c r="K1298" s="4">
        <v>5000</v>
      </c>
      <c r="L1298" s="4">
        <v>5000</v>
      </c>
    </row>
    <row r="1299" spans="2:12" ht="12.75">
      <c r="B1299" t="str">
        <f t="shared" si="63"/>
        <v>2518</v>
      </c>
      <c r="C1299" t="s">
        <v>386</v>
      </c>
      <c r="D1299">
        <v>420222</v>
      </c>
      <c r="E1299" t="s">
        <v>60</v>
      </c>
      <c r="F1299">
        <v>190009</v>
      </c>
      <c r="G1299" t="s">
        <v>144</v>
      </c>
      <c r="H1299">
        <v>19</v>
      </c>
      <c r="I1299" t="s">
        <v>62</v>
      </c>
      <c r="J1299">
        <v>1</v>
      </c>
      <c r="K1299" s="4">
        <v>83000</v>
      </c>
      <c r="L1299" s="4">
        <v>83000</v>
      </c>
    </row>
    <row r="1300" spans="2:12" ht="12.75">
      <c r="B1300" t="str">
        <f t="shared" si="63"/>
        <v>2518</v>
      </c>
      <c r="C1300" t="s">
        <v>386</v>
      </c>
      <c r="D1300">
        <v>420238</v>
      </c>
      <c r="E1300" t="s">
        <v>34</v>
      </c>
      <c r="F1300">
        <v>190011</v>
      </c>
      <c r="G1300" t="s">
        <v>25</v>
      </c>
      <c r="H1300">
        <v>19</v>
      </c>
      <c r="I1300" t="s">
        <v>62</v>
      </c>
      <c r="J1300">
        <v>1</v>
      </c>
      <c r="K1300" s="4">
        <v>20000</v>
      </c>
      <c r="L1300" s="4">
        <v>20000</v>
      </c>
    </row>
    <row r="1301" spans="2:12" ht="12.75">
      <c r="B1301" t="str">
        <f t="shared" si="63"/>
        <v>2518</v>
      </c>
      <c r="C1301" t="s">
        <v>386</v>
      </c>
      <c r="D1301">
        <v>420238</v>
      </c>
      <c r="E1301" t="s">
        <v>34</v>
      </c>
      <c r="F1301">
        <v>250003</v>
      </c>
      <c r="G1301" t="s">
        <v>387</v>
      </c>
      <c r="H1301">
        <v>25</v>
      </c>
      <c r="I1301" t="s">
        <v>120</v>
      </c>
      <c r="J1301">
        <v>1</v>
      </c>
      <c r="K1301" s="4">
        <v>35000</v>
      </c>
      <c r="L1301" s="4">
        <v>35000</v>
      </c>
    </row>
    <row r="1302" spans="2:12" ht="12.75">
      <c r="B1302" t="str">
        <f t="shared" si="63"/>
        <v>2518</v>
      </c>
      <c r="C1302" t="s">
        <v>386</v>
      </c>
      <c r="D1302">
        <v>420248</v>
      </c>
      <c r="E1302" t="s">
        <v>36</v>
      </c>
      <c r="F1302">
        <v>120001</v>
      </c>
      <c r="G1302" t="s">
        <v>114</v>
      </c>
      <c r="H1302">
        <v>12</v>
      </c>
      <c r="I1302" t="s">
        <v>38</v>
      </c>
      <c r="J1302">
        <v>1</v>
      </c>
      <c r="K1302" s="4">
        <v>20000</v>
      </c>
      <c r="L1302" s="4">
        <v>20000</v>
      </c>
    </row>
    <row r="1303" spans="2:12" ht="12.75">
      <c r="B1303" t="str">
        <f t="shared" si="63"/>
        <v>2518</v>
      </c>
      <c r="C1303" t="s">
        <v>386</v>
      </c>
      <c r="D1303">
        <v>420248</v>
      </c>
      <c r="E1303" t="s">
        <v>36</v>
      </c>
      <c r="F1303">
        <v>160004</v>
      </c>
      <c r="G1303" t="s">
        <v>201</v>
      </c>
      <c r="H1303">
        <v>16</v>
      </c>
      <c r="I1303" t="s">
        <v>71</v>
      </c>
      <c r="J1303">
        <v>1</v>
      </c>
      <c r="K1303" s="4">
        <v>14000</v>
      </c>
      <c r="L1303" s="4">
        <v>14000</v>
      </c>
    </row>
    <row r="1304" spans="2:12" ht="12.75">
      <c r="B1304" t="str">
        <f t="shared" si="63"/>
        <v>2518</v>
      </c>
      <c r="C1304" t="s">
        <v>386</v>
      </c>
      <c r="D1304">
        <v>420249</v>
      </c>
      <c r="E1304" t="s">
        <v>39</v>
      </c>
      <c r="F1304">
        <v>290002</v>
      </c>
      <c r="G1304" t="s">
        <v>198</v>
      </c>
      <c r="H1304">
        <v>29</v>
      </c>
      <c r="I1304" t="s">
        <v>142</v>
      </c>
      <c r="J1304">
        <v>1</v>
      </c>
      <c r="K1304" s="4">
        <v>6000</v>
      </c>
      <c r="L1304" s="4">
        <v>6000</v>
      </c>
    </row>
    <row r="1305" spans="2:12" ht="12.75">
      <c r="B1305" t="str">
        <f t="shared" si="63"/>
        <v>2518</v>
      </c>
      <c r="C1305" t="s">
        <v>386</v>
      </c>
      <c r="D1305">
        <v>420703</v>
      </c>
      <c r="E1305" t="s">
        <v>51</v>
      </c>
      <c r="F1305">
        <v>310002</v>
      </c>
      <c r="G1305" t="s">
        <v>86</v>
      </c>
      <c r="H1305">
        <v>31</v>
      </c>
      <c r="I1305" t="s">
        <v>26</v>
      </c>
      <c r="J1305">
        <v>1</v>
      </c>
      <c r="K1305" s="4">
        <v>8000</v>
      </c>
      <c r="L1305" s="4">
        <v>8000</v>
      </c>
    </row>
    <row r="1306" spans="2:12" ht="12.75">
      <c r="B1306" t="str">
        <f t="shared" si="63"/>
        <v>2518</v>
      </c>
      <c r="C1306" t="s">
        <v>386</v>
      </c>
      <c r="D1306">
        <v>420703</v>
      </c>
      <c r="E1306" t="s">
        <v>51</v>
      </c>
      <c r="F1306">
        <v>310002</v>
      </c>
      <c r="G1306" t="s">
        <v>86</v>
      </c>
      <c r="H1306">
        <v>31</v>
      </c>
      <c r="I1306" t="s">
        <v>26</v>
      </c>
      <c r="J1306">
        <v>1</v>
      </c>
      <c r="K1306" s="4">
        <v>20000</v>
      </c>
      <c r="L1306" s="4">
        <v>20000</v>
      </c>
    </row>
    <row r="1307" spans="2:12" ht="12.75">
      <c r="B1307" t="str">
        <f t="shared" si="63"/>
        <v>2518</v>
      </c>
      <c r="C1307" t="s">
        <v>386</v>
      </c>
      <c r="D1307">
        <v>420703</v>
      </c>
      <c r="E1307" t="s">
        <v>51</v>
      </c>
      <c r="F1307">
        <v>310002</v>
      </c>
      <c r="G1307" t="s">
        <v>86</v>
      </c>
      <c r="H1307">
        <v>31</v>
      </c>
      <c r="I1307" t="s">
        <v>26</v>
      </c>
      <c r="J1307">
        <v>1</v>
      </c>
      <c r="K1307" s="4">
        <v>4000</v>
      </c>
      <c r="L1307" s="4">
        <v>4000</v>
      </c>
    </row>
    <row r="1308" spans="2:12" ht="12.75">
      <c r="B1308" t="str">
        <f t="shared" si="63"/>
        <v>2518</v>
      </c>
      <c r="C1308" t="s">
        <v>386</v>
      </c>
      <c r="D1308">
        <v>420703</v>
      </c>
      <c r="E1308" t="s">
        <v>51</v>
      </c>
      <c r="F1308">
        <v>310008</v>
      </c>
      <c r="G1308" t="s">
        <v>148</v>
      </c>
      <c r="H1308">
        <v>31</v>
      </c>
      <c r="I1308" t="s">
        <v>26</v>
      </c>
      <c r="J1308">
        <v>1</v>
      </c>
      <c r="K1308" s="4">
        <v>20000</v>
      </c>
      <c r="L1308" s="4">
        <v>20000</v>
      </c>
    </row>
    <row r="1309" spans="2:12" ht="12.75">
      <c r="B1309" t="str">
        <f t="shared" si="63"/>
        <v>2518</v>
      </c>
      <c r="C1309" t="s">
        <v>386</v>
      </c>
      <c r="D1309">
        <v>420703</v>
      </c>
      <c r="E1309" t="s">
        <v>51</v>
      </c>
      <c r="F1309">
        <v>310008</v>
      </c>
      <c r="G1309" t="s">
        <v>148</v>
      </c>
      <c r="H1309">
        <v>31</v>
      </c>
      <c r="I1309" t="s">
        <v>26</v>
      </c>
      <c r="J1309">
        <v>2</v>
      </c>
      <c r="K1309" s="4">
        <v>10000</v>
      </c>
      <c r="L1309" s="4">
        <v>20000</v>
      </c>
    </row>
    <row r="1310" spans="2:12" ht="12.75">
      <c r="B1310" t="str">
        <f t="shared" si="63"/>
        <v>2518</v>
      </c>
      <c r="C1310" t="s">
        <v>386</v>
      </c>
      <c r="D1310">
        <v>420703</v>
      </c>
      <c r="E1310" t="s">
        <v>51</v>
      </c>
      <c r="F1310">
        <v>310009</v>
      </c>
      <c r="G1310" t="s">
        <v>25</v>
      </c>
      <c r="H1310">
        <v>31</v>
      </c>
      <c r="I1310" t="s">
        <v>26</v>
      </c>
      <c r="J1310">
        <v>1</v>
      </c>
      <c r="K1310" s="4">
        <v>16500</v>
      </c>
      <c r="L1310" s="4">
        <v>16500</v>
      </c>
    </row>
    <row r="1311" spans="2:12" ht="12.75">
      <c r="B1311" t="str">
        <f t="shared" si="63"/>
        <v>2518</v>
      </c>
      <c r="C1311" t="s">
        <v>386</v>
      </c>
      <c r="D1311">
        <v>420704</v>
      </c>
      <c r="E1311" t="s">
        <v>24</v>
      </c>
      <c r="F1311">
        <v>410002</v>
      </c>
      <c r="G1311" t="s">
        <v>86</v>
      </c>
      <c r="H1311">
        <v>41</v>
      </c>
      <c r="I1311" t="s">
        <v>14</v>
      </c>
      <c r="J1311">
        <v>1</v>
      </c>
      <c r="K1311" s="4">
        <v>2000</v>
      </c>
      <c r="L1311" s="4">
        <v>2000</v>
      </c>
    </row>
    <row r="1312" spans="2:12" ht="12.75">
      <c r="B1312" t="str">
        <f t="shared" si="63"/>
        <v>2518</v>
      </c>
      <c r="C1312" t="s">
        <v>386</v>
      </c>
      <c r="D1312">
        <v>420704</v>
      </c>
      <c r="E1312" t="s">
        <v>24</v>
      </c>
      <c r="F1312">
        <v>410002</v>
      </c>
      <c r="G1312" t="s">
        <v>86</v>
      </c>
      <c r="H1312">
        <v>41</v>
      </c>
      <c r="I1312" t="s">
        <v>14</v>
      </c>
      <c r="J1312">
        <v>1</v>
      </c>
      <c r="K1312" s="4">
        <v>8140.96</v>
      </c>
      <c r="L1312" s="4">
        <v>8140.96</v>
      </c>
    </row>
    <row r="1313" spans="2:12" ht="12.75">
      <c r="B1313" t="str">
        <f t="shared" si="63"/>
        <v>2518</v>
      </c>
      <c r="C1313" t="s">
        <v>386</v>
      </c>
      <c r="D1313">
        <v>420704</v>
      </c>
      <c r="E1313" t="s">
        <v>24</v>
      </c>
      <c r="F1313">
        <v>410002</v>
      </c>
      <c r="G1313" t="s">
        <v>86</v>
      </c>
      <c r="H1313">
        <v>41</v>
      </c>
      <c r="I1313" t="s">
        <v>14</v>
      </c>
      <c r="J1313">
        <v>1</v>
      </c>
      <c r="K1313" s="4">
        <v>20000</v>
      </c>
      <c r="L1313" s="4">
        <v>20000</v>
      </c>
    </row>
    <row r="1314" spans="2:12" ht="12.75">
      <c r="B1314" t="str">
        <f t="shared" si="63"/>
        <v>2518</v>
      </c>
      <c r="C1314" t="s">
        <v>386</v>
      </c>
      <c r="D1314">
        <v>420704</v>
      </c>
      <c r="E1314" t="s">
        <v>24</v>
      </c>
      <c r="F1314">
        <v>410002</v>
      </c>
      <c r="G1314" t="s">
        <v>86</v>
      </c>
      <c r="H1314">
        <v>41</v>
      </c>
      <c r="I1314" t="s">
        <v>14</v>
      </c>
      <c r="J1314">
        <v>1</v>
      </c>
      <c r="K1314" s="4">
        <v>30420</v>
      </c>
      <c r="L1314" s="4">
        <v>30420</v>
      </c>
    </row>
    <row r="1315" spans="2:12" ht="12.75">
      <c r="B1315" t="str">
        <f t="shared" si="63"/>
        <v>2518</v>
      </c>
      <c r="C1315" t="s">
        <v>386</v>
      </c>
      <c r="D1315">
        <v>420704</v>
      </c>
      <c r="E1315" t="s">
        <v>24</v>
      </c>
      <c r="F1315">
        <v>410002</v>
      </c>
      <c r="G1315" t="s">
        <v>86</v>
      </c>
      <c r="H1315">
        <v>41</v>
      </c>
      <c r="I1315" t="s">
        <v>14</v>
      </c>
      <c r="J1315">
        <v>1</v>
      </c>
      <c r="K1315" s="4">
        <v>31500</v>
      </c>
      <c r="L1315" s="4">
        <v>31500</v>
      </c>
    </row>
    <row r="1316" spans="2:12" ht="12.75">
      <c r="B1316" t="str">
        <f t="shared" si="63"/>
        <v>2518</v>
      </c>
      <c r="C1316" t="s">
        <v>386</v>
      </c>
      <c r="D1316">
        <v>420704</v>
      </c>
      <c r="E1316" t="s">
        <v>24</v>
      </c>
      <c r="F1316">
        <v>410002</v>
      </c>
      <c r="G1316" t="s">
        <v>86</v>
      </c>
      <c r="H1316">
        <v>41</v>
      </c>
      <c r="I1316" t="s">
        <v>14</v>
      </c>
      <c r="J1316">
        <v>2</v>
      </c>
      <c r="K1316" s="4">
        <v>7500</v>
      </c>
      <c r="L1316" s="4">
        <v>15000</v>
      </c>
    </row>
    <row r="1317" spans="2:12" ht="12.75">
      <c r="B1317" t="str">
        <f aca="true" t="shared" si="64" ref="B1317:B1325">"2518"</f>
        <v>2518</v>
      </c>
      <c r="C1317" t="s">
        <v>386</v>
      </c>
      <c r="D1317">
        <v>420704</v>
      </c>
      <c r="E1317" t="s">
        <v>24</v>
      </c>
      <c r="F1317">
        <v>410002</v>
      </c>
      <c r="G1317" t="s">
        <v>86</v>
      </c>
      <c r="H1317">
        <v>41</v>
      </c>
      <c r="I1317" t="s">
        <v>14</v>
      </c>
      <c r="J1317">
        <v>1</v>
      </c>
      <c r="K1317" s="4">
        <v>15000</v>
      </c>
      <c r="L1317" s="4">
        <v>15000</v>
      </c>
    </row>
    <row r="1318" spans="2:12" ht="12.75">
      <c r="B1318" t="str">
        <f t="shared" si="64"/>
        <v>2518</v>
      </c>
      <c r="C1318" t="s">
        <v>386</v>
      </c>
      <c r="D1318">
        <v>420704</v>
      </c>
      <c r="E1318" t="s">
        <v>24</v>
      </c>
      <c r="F1318">
        <v>410002</v>
      </c>
      <c r="G1318" t="s">
        <v>86</v>
      </c>
      <c r="H1318">
        <v>41</v>
      </c>
      <c r="I1318" t="s">
        <v>14</v>
      </c>
      <c r="J1318">
        <v>1</v>
      </c>
      <c r="K1318" s="4">
        <v>9148.2</v>
      </c>
      <c r="L1318" s="4">
        <v>9148.2</v>
      </c>
    </row>
    <row r="1319" spans="2:12" ht="12.75">
      <c r="B1319" t="str">
        <f t="shared" si="64"/>
        <v>2518</v>
      </c>
      <c r="C1319" t="s">
        <v>386</v>
      </c>
      <c r="D1319">
        <v>420704</v>
      </c>
      <c r="E1319" t="s">
        <v>24</v>
      </c>
      <c r="F1319">
        <v>410002</v>
      </c>
      <c r="G1319" t="s">
        <v>86</v>
      </c>
      <c r="H1319">
        <v>41</v>
      </c>
      <c r="I1319" t="s">
        <v>14</v>
      </c>
      <c r="J1319">
        <v>1</v>
      </c>
      <c r="K1319" s="4">
        <v>40000</v>
      </c>
      <c r="L1319" s="4">
        <v>40000</v>
      </c>
    </row>
    <row r="1320" spans="2:12" ht="12.75">
      <c r="B1320" t="str">
        <f t="shared" si="64"/>
        <v>2518</v>
      </c>
      <c r="C1320" t="s">
        <v>386</v>
      </c>
      <c r="D1320">
        <v>420704</v>
      </c>
      <c r="E1320" t="s">
        <v>24</v>
      </c>
      <c r="F1320">
        <v>410002</v>
      </c>
      <c r="G1320" t="s">
        <v>86</v>
      </c>
      <c r="H1320">
        <v>41</v>
      </c>
      <c r="I1320" t="s">
        <v>14</v>
      </c>
      <c r="J1320">
        <v>1</v>
      </c>
      <c r="K1320" s="4">
        <v>1000</v>
      </c>
      <c r="L1320" s="4">
        <v>1000</v>
      </c>
    </row>
    <row r="1321" spans="2:12" ht="12.75">
      <c r="B1321" t="str">
        <f t="shared" si="64"/>
        <v>2518</v>
      </c>
      <c r="C1321" t="s">
        <v>386</v>
      </c>
      <c r="D1321">
        <v>420704</v>
      </c>
      <c r="E1321" t="s">
        <v>24</v>
      </c>
      <c r="F1321">
        <v>410002</v>
      </c>
      <c r="G1321" t="s">
        <v>86</v>
      </c>
      <c r="H1321">
        <v>41</v>
      </c>
      <c r="I1321" t="s">
        <v>14</v>
      </c>
      <c r="J1321">
        <v>1</v>
      </c>
      <c r="K1321" s="4">
        <v>5000</v>
      </c>
      <c r="L1321" s="4">
        <v>5000</v>
      </c>
    </row>
    <row r="1322" spans="2:12" ht="12.75">
      <c r="B1322" t="str">
        <f t="shared" si="64"/>
        <v>2518</v>
      </c>
      <c r="C1322" t="s">
        <v>386</v>
      </c>
      <c r="D1322">
        <v>420704</v>
      </c>
      <c r="E1322" t="s">
        <v>24</v>
      </c>
      <c r="F1322">
        <v>410002</v>
      </c>
      <c r="G1322" t="s">
        <v>86</v>
      </c>
      <c r="H1322">
        <v>41</v>
      </c>
      <c r="I1322" t="s">
        <v>14</v>
      </c>
      <c r="J1322">
        <v>1</v>
      </c>
      <c r="K1322" s="4">
        <v>24000</v>
      </c>
      <c r="L1322" s="4">
        <v>24000</v>
      </c>
    </row>
    <row r="1323" spans="2:12" ht="12.75">
      <c r="B1323" t="str">
        <f t="shared" si="64"/>
        <v>2518</v>
      </c>
      <c r="C1323" t="s">
        <v>386</v>
      </c>
      <c r="D1323">
        <v>420704</v>
      </c>
      <c r="E1323" t="s">
        <v>24</v>
      </c>
      <c r="F1323">
        <v>410002</v>
      </c>
      <c r="G1323" t="s">
        <v>86</v>
      </c>
      <c r="H1323">
        <v>41</v>
      </c>
      <c r="I1323" t="s">
        <v>14</v>
      </c>
      <c r="J1323">
        <v>1</v>
      </c>
      <c r="K1323" s="4">
        <v>12500</v>
      </c>
      <c r="L1323" s="4">
        <v>12500</v>
      </c>
    </row>
    <row r="1324" spans="2:12" ht="12.75">
      <c r="B1324" t="str">
        <f t="shared" si="64"/>
        <v>2518</v>
      </c>
      <c r="C1324" t="s">
        <v>386</v>
      </c>
      <c r="D1324">
        <v>420704</v>
      </c>
      <c r="E1324" t="s">
        <v>24</v>
      </c>
      <c r="F1324">
        <v>410002</v>
      </c>
      <c r="G1324" t="s">
        <v>86</v>
      </c>
      <c r="H1324">
        <v>41</v>
      </c>
      <c r="I1324" t="s">
        <v>14</v>
      </c>
      <c r="J1324">
        <v>1</v>
      </c>
      <c r="K1324" s="4">
        <v>35000</v>
      </c>
      <c r="L1324" s="4">
        <v>35000</v>
      </c>
    </row>
    <row r="1325" spans="2:12" ht="12.75">
      <c r="B1325" t="str">
        <f t="shared" si="64"/>
        <v>2518</v>
      </c>
      <c r="C1325" t="s">
        <v>386</v>
      </c>
      <c r="D1325">
        <v>420704</v>
      </c>
      <c r="E1325" t="s">
        <v>24</v>
      </c>
      <c r="F1325">
        <v>410002</v>
      </c>
      <c r="G1325" t="s">
        <v>86</v>
      </c>
      <c r="H1325">
        <v>41</v>
      </c>
      <c r="I1325" t="s">
        <v>14</v>
      </c>
      <c r="J1325">
        <v>1</v>
      </c>
      <c r="K1325" s="4">
        <v>10000</v>
      </c>
      <c r="L1325" s="4">
        <v>10000</v>
      </c>
    </row>
    <row r="1326" spans="2:12" ht="12.75">
      <c r="B1326" t="str">
        <f>"3531"</f>
        <v>3531</v>
      </c>
      <c r="C1326" t="s">
        <v>388</v>
      </c>
      <c r="D1326">
        <v>420703</v>
      </c>
      <c r="E1326" t="s">
        <v>51</v>
      </c>
      <c r="F1326">
        <v>310005</v>
      </c>
      <c r="G1326" t="s">
        <v>46</v>
      </c>
      <c r="H1326">
        <v>31</v>
      </c>
      <c r="I1326" t="s">
        <v>26</v>
      </c>
      <c r="J1326">
        <v>1</v>
      </c>
      <c r="K1326" s="4">
        <v>14172</v>
      </c>
      <c r="L1326" s="4">
        <v>14172</v>
      </c>
    </row>
    <row r="1327" spans="2:12" ht="12.75">
      <c r="B1327" t="str">
        <f>"7372"</f>
        <v>7372</v>
      </c>
      <c r="C1327" t="s">
        <v>389</v>
      </c>
      <c r="D1327">
        <v>420202</v>
      </c>
      <c r="E1327" t="s">
        <v>19</v>
      </c>
      <c r="F1327">
        <v>20002</v>
      </c>
      <c r="G1327" t="s">
        <v>58</v>
      </c>
      <c r="H1327">
        <v>2</v>
      </c>
      <c r="I1327" t="s">
        <v>30</v>
      </c>
      <c r="J1327">
        <v>2</v>
      </c>
      <c r="K1327" s="4">
        <v>1125</v>
      </c>
      <c r="L1327" s="4">
        <v>2250</v>
      </c>
    </row>
    <row r="1328" spans="2:12" ht="12.75">
      <c r="B1328" t="str">
        <f>"7904"</f>
        <v>7904</v>
      </c>
      <c r="C1328" t="s">
        <v>390</v>
      </c>
      <c r="D1328">
        <v>420202</v>
      </c>
      <c r="E1328" t="s">
        <v>19</v>
      </c>
      <c r="F1328">
        <v>20002</v>
      </c>
      <c r="G1328" t="s">
        <v>58</v>
      </c>
      <c r="H1328">
        <v>2</v>
      </c>
      <c r="I1328" t="s">
        <v>30</v>
      </c>
      <c r="J1328">
        <v>2</v>
      </c>
      <c r="K1328" s="4">
        <v>3000</v>
      </c>
      <c r="L1328" s="4">
        <v>6000</v>
      </c>
    </row>
    <row r="1329" spans="2:12" ht="12.75">
      <c r="B1329" t="str">
        <f>"8137"</f>
        <v>8137</v>
      </c>
      <c r="C1329" t="s">
        <v>391</v>
      </c>
      <c r="D1329">
        <v>420202</v>
      </c>
      <c r="E1329" t="s">
        <v>19</v>
      </c>
      <c r="F1329">
        <v>20001</v>
      </c>
      <c r="G1329" t="s">
        <v>29</v>
      </c>
      <c r="H1329">
        <v>2</v>
      </c>
      <c r="I1329" t="s">
        <v>30</v>
      </c>
      <c r="J1329">
        <v>2</v>
      </c>
      <c r="K1329" s="4">
        <v>1500</v>
      </c>
      <c r="L1329" s="4">
        <v>3000</v>
      </c>
    </row>
    <row r="1330" spans="1:2" ht="12.75">
      <c r="A1330" t="s">
        <v>47</v>
      </c>
      <c r="B1330">
        <f>SUM(L1246:L1329)</f>
        <v>1130706.56</v>
      </c>
    </row>
    <row r="1332" ht="12.75">
      <c r="A1332" t="str">
        <f>"2611 - Ministrstvo za delo, družino in socialne zadeve, verzija: 2"</f>
        <v>2611 - Ministrstvo za delo, družino in socialne zadeve, verzija: 2</v>
      </c>
    </row>
    <row r="1333" spans="2:13" ht="12.75">
      <c r="B1333" t="s">
        <v>3</v>
      </c>
      <c r="D1333" t="s">
        <v>4</v>
      </c>
      <c r="F1333" t="s">
        <v>5</v>
      </c>
      <c r="H1333" t="s">
        <v>6</v>
      </c>
      <c r="J1333" t="s">
        <v>7</v>
      </c>
      <c r="K1333" s="4" t="s">
        <v>8</v>
      </c>
      <c r="L1333" s="4" t="s">
        <v>9</v>
      </c>
      <c r="M1333" t="s">
        <v>10</v>
      </c>
    </row>
    <row r="1334" spans="2:12" ht="12.75">
      <c r="B1334" t="str">
        <f aca="true" t="shared" si="65" ref="B1334:B1342">"1288"</f>
        <v>1288</v>
      </c>
      <c r="C1334" t="s">
        <v>392</v>
      </c>
      <c r="D1334">
        <v>402011</v>
      </c>
      <c r="E1334" t="s">
        <v>54</v>
      </c>
      <c r="F1334">
        <v>390001</v>
      </c>
      <c r="G1334" t="s">
        <v>306</v>
      </c>
      <c r="H1334">
        <v>39</v>
      </c>
      <c r="I1334" t="s">
        <v>141</v>
      </c>
      <c r="J1334">
        <v>1</v>
      </c>
      <c r="K1334" s="4">
        <v>521616</v>
      </c>
      <c r="L1334" s="4">
        <v>521616</v>
      </c>
    </row>
    <row r="1335" spans="2:12" ht="12.75">
      <c r="B1335" t="str">
        <f t="shared" si="65"/>
        <v>1288</v>
      </c>
      <c r="C1335" t="s">
        <v>392</v>
      </c>
      <c r="D1335">
        <v>402510</v>
      </c>
      <c r="E1335" t="s">
        <v>12</v>
      </c>
      <c r="F1335">
        <v>390002</v>
      </c>
      <c r="G1335" t="s">
        <v>307</v>
      </c>
      <c r="H1335">
        <v>39</v>
      </c>
      <c r="I1335" t="s">
        <v>141</v>
      </c>
      <c r="J1335">
        <v>1</v>
      </c>
      <c r="K1335" s="4">
        <v>42209</v>
      </c>
      <c r="L1335" s="4">
        <v>42209</v>
      </c>
    </row>
    <row r="1336" spans="2:12" ht="12.75">
      <c r="B1336" t="str">
        <f t="shared" si="65"/>
        <v>1288</v>
      </c>
      <c r="C1336" t="s">
        <v>392</v>
      </c>
      <c r="D1336">
        <v>420202</v>
      </c>
      <c r="E1336" t="s">
        <v>19</v>
      </c>
      <c r="F1336">
        <v>10002</v>
      </c>
      <c r="G1336" t="s">
        <v>20</v>
      </c>
      <c r="H1336">
        <v>1</v>
      </c>
      <c r="I1336" t="s">
        <v>21</v>
      </c>
      <c r="J1336">
        <v>229</v>
      </c>
      <c r="K1336" s="4">
        <v>850</v>
      </c>
      <c r="L1336" s="4">
        <v>194650</v>
      </c>
    </row>
    <row r="1337" spans="2:12" ht="12.75">
      <c r="B1337" t="str">
        <f t="shared" si="65"/>
        <v>1288</v>
      </c>
      <c r="C1337" t="s">
        <v>392</v>
      </c>
      <c r="D1337">
        <v>420202</v>
      </c>
      <c r="E1337" t="s">
        <v>19</v>
      </c>
      <c r="F1337">
        <v>60002</v>
      </c>
      <c r="G1337" t="s">
        <v>31</v>
      </c>
      <c r="H1337">
        <v>6</v>
      </c>
      <c r="I1337" t="s">
        <v>32</v>
      </c>
      <c r="J1337">
        <v>20</v>
      </c>
      <c r="K1337" s="4">
        <v>240</v>
      </c>
      <c r="L1337" s="4">
        <v>4800</v>
      </c>
    </row>
    <row r="1338" spans="2:12" ht="12.75">
      <c r="B1338" t="str">
        <f t="shared" si="65"/>
        <v>1288</v>
      </c>
      <c r="C1338" t="s">
        <v>392</v>
      </c>
      <c r="D1338">
        <v>420202</v>
      </c>
      <c r="E1338" t="s">
        <v>19</v>
      </c>
      <c r="F1338">
        <v>60002</v>
      </c>
      <c r="G1338" t="s">
        <v>31</v>
      </c>
      <c r="H1338">
        <v>6</v>
      </c>
      <c r="I1338" t="s">
        <v>32</v>
      </c>
      <c r="J1338">
        <v>30</v>
      </c>
      <c r="K1338" s="4">
        <v>1600</v>
      </c>
      <c r="L1338" s="4">
        <v>48000</v>
      </c>
    </row>
    <row r="1339" spans="2:12" ht="12.75">
      <c r="B1339" t="str">
        <f t="shared" si="65"/>
        <v>1288</v>
      </c>
      <c r="C1339" t="s">
        <v>392</v>
      </c>
      <c r="D1339">
        <v>420202</v>
      </c>
      <c r="E1339" t="s">
        <v>19</v>
      </c>
      <c r="F1339">
        <v>70003</v>
      </c>
      <c r="G1339" t="s">
        <v>73</v>
      </c>
      <c r="H1339">
        <v>7</v>
      </c>
      <c r="I1339" t="s">
        <v>74</v>
      </c>
      <c r="J1339">
        <v>10</v>
      </c>
      <c r="K1339" s="4">
        <v>2000</v>
      </c>
      <c r="L1339" s="4">
        <v>20000</v>
      </c>
    </row>
    <row r="1340" spans="2:12" ht="12.75">
      <c r="B1340" t="str">
        <f t="shared" si="65"/>
        <v>1288</v>
      </c>
      <c r="C1340" t="s">
        <v>392</v>
      </c>
      <c r="D1340">
        <v>420202</v>
      </c>
      <c r="E1340" t="s">
        <v>19</v>
      </c>
      <c r="F1340">
        <v>230002</v>
      </c>
      <c r="G1340" t="s">
        <v>214</v>
      </c>
      <c r="H1340">
        <v>23</v>
      </c>
      <c r="I1340" t="s">
        <v>143</v>
      </c>
      <c r="J1340">
        <v>20</v>
      </c>
      <c r="K1340" s="4">
        <v>6300</v>
      </c>
      <c r="L1340" s="4">
        <v>126000</v>
      </c>
    </row>
    <row r="1341" spans="2:12" ht="12.75">
      <c r="B1341" t="str">
        <f t="shared" si="65"/>
        <v>1288</v>
      </c>
      <c r="C1341" t="s">
        <v>392</v>
      </c>
      <c r="D1341">
        <v>420703</v>
      </c>
      <c r="E1341" t="s">
        <v>51</v>
      </c>
      <c r="F1341">
        <v>310005</v>
      </c>
      <c r="G1341" t="s">
        <v>46</v>
      </c>
      <c r="H1341">
        <v>31</v>
      </c>
      <c r="I1341" t="s">
        <v>26</v>
      </c>
      <c r="J1341">
        <v>300</v>
      </c>
      <c r="K1341" s="4">
        <v>360</v>
      </c>
      <c r="L1341" s="4">
        <v>108000</v>
      </c>
    </row>
    <row r="1342" spans="2:12" ht="12.75">
      <c r="B1342" t="str">
        <f t="shared" si="65"/>
        <v>1288</v>
      </c>
      <c r="C1342" t="s">
        <v>392</v>
      </c>
      <c r="D1342">
        <v>420703</v>
      </c>
      <c r="E1342" t="s">
        <v>51</v>
      </c>
      <c r="F1342">
        <v>310005</v>
      </c>
      <c r="G1342" t="s">
        <v>46</v>
      </c>
      <c r="H1342">
        <v>31</v>
      </c>
      <c r="I1342" t="s">
        <v>26</v>
      </c>
      <c r="J1342">
        <v>1</v>
      </c>
      <c r="K1342" s="4">
        <v>19094</v>
      </c>
      <c r="L1342" s="4">
        <v>19094</v>
      </c>
    </row>
    <row r="1343" spans="2:12" ht="12.75">
      <c r="B1343" t="str">
        <f>"1439"</f>
        <v>1439</v>
      </c>
      <c r="C1343" t="s">
        <v>393</v>
      </c>
      <c r="D1343">
        <v>402007</v>
      </c>
      <c r="E1343" t="s">
        <v>41</v>
      </c>
      <c r="F1343">
        <v>350005</v>
      </c>
      <c r="G1343" t="s">
        <v>96</v>
      </c>
      <c r="H1343">
        <v>35</v>
      </c>
      <c r="I1343" t="s">
        <v>17</v>
      </c>
      <c r="J1343">
        <v>1</v>
      </c>
      <c r="K1343" s="4">
        <v>16236</v>
      </c>
      <c r="L1343" s="4">
        <v>16236</v>
      </c>
    </row>
    <row r="1344" spans="2:12" ht="12.75">
      <c r="B1344" t="str">
        <f>"2198"</f>
        <v>2198</v>
      </c>
      <c r="C1344" t="s">
        <v>394</v>
      </c>
      <c r="D1344">
        <v>402516</v>
      </c>
      <c r="E1344" t="s">
        <v>109</v>
      </c>
      <c r="F1344">
        <v>310003</v>
      </c>
      <c r="G1344" t="s">
        <v>125</v>
      </c>
      <c r="H1344">
        <v>31</v>
      </c>
      <c r="I1344" t="s">
        <v>26</v>
      </c>
      <c r="J1344">
        <v>1</v>
      </c>
      <c r="K1344" s="4">
        <v>2328493</v>
      </c>
      <c r="L1344" s="4">
        <v>2328493</v>
      </c>
    </row>
    <row r="1345" spans="2:13" ht="12.75">
      <c r="B1345" t="str">
        <f>"2198"</f>
        <v>2198</v>
      </c>
      <c r="C1345" t="s">
        <v>394</v>
      </c>
      <c r="D1345">
        <v>420238</v>
      </c>
      <c r="E1345" t="s">
        <v>34</v>
      </c>
      <c r="F1345">
        <v>190011</v>
      </c>
      <c r="G1345" t="s">
        <v>25</v>
      </c>
      <c r="H1345">
        <v>19</v>
      </c>
      <c r="I1345" t="s">
        <v>62</v>
      </c>
      <c r="J1345">
        <v>1</v>
      </c>
      <c r="K1345" s="4">
        <v>75113</v>
      </c>
      <c r="L1345" s="4">
        <v>75113</v>
      </c>
      <c r="M1345" t="s">
        <v>395</v>
      </c>
    </row>
    <row r="1346" spans="2:12" ht="12.75">
      <c r="B1346" t="str">
        <f>"2456"</f>
        <v>2456</v>
      </c>
      <c r="C1346" t="s">
        <v>396</v>
      </c>
      <c r="D1346">
        <v>420703</v>
      </c>
      <c r="E1346" t="s">
        <v>51</v>
      </c>
      <c r="F1346">
        <v>310001</v>
      </c>
      <c r="G1346" t="s">
        <v>175</v>
      </c>
      <c r="H1346">
        <v>31</v>
      </c>
      <c r="I1346" t="s">
        <v>26</v>
      </c>
      <c r="J1346">
        <v>1</v>
      </c>
      <c r="K1346" s="4">
        <v>154468</v>
      </c>
      <c r="L1346" s="4">
        <v>154468</v>
      </c>
    </row>
    <row r="1347" spans="2:13" ht="12.75">
      <c r="B1347" t="str">
        <f>"2910"</f>
        <v>2910</v>
      </c>
      <c r="C1347" t="s">
        <v>27</v>
      </c>
      <c r="D1347">
        <v>420238</v>
      </c>
      <c r="E1347" t="s">
        <v>34</v>
      </c>
      <c r="F1347">
        <v>400024</v>
      </c>
      <c r="G1347" t="s">
        <v>25</v>
      </c>
      <c r="H1347">
        <v>40</v>
      </c>
      <c r="I1347" t="s">
        <v>50</v>
      </c>
      <c r="J1347">
        <v>1</v>
      </c>
      <c r="K1347" s="4">
        <v>2086</v>
      </c>
      <c r="L1347" s="4">
        <v>2086</v>
      </c>
      <c r="M1347" t="s">
        <v>397</v>
      </c>
    </row>
    <row r="1348" spans="2:13" ht="12.75">
      <c r="B1348" t="str">
        <f>"3675"</f>
        <v>3675</v>
      </c>
      <c r="C1348" t="s">
        <v>398</v>
      </c>
      <c r="D1348">
        <v>402007</v>
      </c>
      <c r="E1348" t="s">
        <v>41</v>
      </c>
      <c r="F1348">
        <v>430009</v>
      </c>
      <c r="G1348" t="s">
        <v>25</v>
      </c>
      <c r="H1348">
        <v>43</v>
      </c>
      <c r="I1348" t="s">
        <v>56</v>
      </c>
      <c r="J1348">
        <v>4</v>
      </c>
      <c r="K1348" s="4">
        <v>4694.5</v>
      </c>
      <c r="L1348" s="4">
        <v>18778</v>
      </c>
      <c r="M1348" t="s">
        <v>399</v>
      </c>
    </row>
    <row r="1349" spans="2:12" ht="12.75">
      <c r="B1349" t="str">
        <f>"4090"</f>
        <v>4090</v>
      </c>
      <c r="C1349" t="s">
        <v>400</v>
      </c>
      <c r="D1349">
        <v>420704</v>
      </c>
      <c r="E1349" t="s">
        <v>24</v>
      </c>
      <c r="F1349">
        <v>310001</v>
      </c>
      <c r="G1349" t="s">
        <v>175</v>
      </c>
      <c r="H1349">
        <v>31</v>
      </c>
      <c r="I1349" t="s">
        <v>26</v>
      </c>
      <c r="J1349">
        <v>1</v>
      </c>
      <c r="K1349" s="4">
        <v>157450</v>
      </c>
      <c r="L1349" s="4">
        <v>157450</v>
      </c>
    </row>
    <row r="1350" spans="2:12" ht="12.75">
      <c r="B1350" t="str">
        <f>"4326"</f>
        <v>4326</v>
      </c>
      <c r="C1350" t="s">
        <v>401</v>
      </c>
      <c r="D1350">
        <v>402007</v>
      </c>
      <c r="E1350" t="s">
        <v>41</v>
      </c>
      <c r="F1350">
        <v>410001</v>
      </c>
      <c r="G1350" t="s">
        <v>13</v>
      </c>
      <c r="H1350">
        <v>41</v>
      </c>
      <c r="I1350" t="s">
        <v>14</v>
      </c>
      <c r="J1350">
        <v>1</v>
      </c>
      <c r="K1350" s="4">
        <v>47508</v>
      </c>
      <c r="L1350" s="4">
        <v>47508</v>
      </c>
    </row>
    <row r="1351" spans="2:12" ht="12.75">
      <c r="B1351" t="str">
        <f>"4326"</f>
        <v>4326</v>
      </c>
      <c r="C1351" t="s">
        <v>401</v>
      </c>
      <c r="D1351">
        <v>420202</v>
      </c>
      <c r="E1351" t="s">
        <v>19</v>
      </c>
      <c r="F1351">
        <v>10003</v>
      </c>
      <c r="G1351" t="s">
        <v>28</v>
      </c>
      <c r="H1351">
        <v>1</v>
      </c>
      <c r="I1351" t="s">
        <v>21</v>
      </c>
      <c r="J1351">
        <v>10</v>
      </c>
      <c r="K1351" s="4">
        <v>1335.3</v>
      </c>
      <c r="L1351" s="4">
        <v>13353</v>
      </c>
    </row>
    <row r="1352" spans="2:13" ht="12.75">
      <c r="B1352" t="str">
        <f>"4326"</f>
        <v>4326</v>
      </c>
      <c r="C1352" t="s">
        <v>401</v>
      </c>
      <c r="D1352">
        <v>420704</v>
      </c>
      <c r="E1352" t="s">
        <v>24</v>
      </c>
      <c r="F1352">
        <v>310009</v>
      </c>
      <c r="G1352" t="s">
        <v>25</v>
      </c>
      <c r="H1352">
        <v>31</v>
      </c>
      <c r="I1352" t="s">
        <v>26</v>
      </c>
      <c r="J1352">
        <v>1</v>
      </c>
      <c r="K1352" s="4">
        <v>4173</v>
      </c>
      <c r="L1352" s="4">
        <v>4173</v>
      </c>
      <c r="M1352" t="s">
        <v>402</v>
      </c>
    </row>
    <row r="1353" spans="2:12" ht="12.75">
      <c r="B1353" t="str">
        <f>"4428"</f>
        <v>4428</v>
      </c>
      <c r="C1353" t="s">
        <v>403</v>
      </c>
      <c r="D1353">
        <v>402941</v>
      </c>
      <c r="E1353" t="s">
        <v>98</v>
      </c>
      <c r="F1353">
        <v>440001</v>
      </c>
      <c r="G1353" t="s">
        <v>192</v>
      </c>
      <c r="H1353">
        <v>44</v>
      </c>
      <c r="I1353" t="s">
        <v>99</v>
      </c>
      <c r="J1353">
        <v>1</v>
      </c>
      <c r="K1353" s="4">
        <v>6168</v>
      </c>
      <c r="L1353" s="4">
        <v>6168</v>
      </c>
    </row>
    <row r="1354" spans="2:12" ht="12.75">
      <c r="B1354" t="str">
        <f aca="true" t="shared" si="66" ref="B1354:B1365">"6193"</f>
        <v>6193</v>
      </c>
      <c r="C1354" t="s">
        <v>404</v>
      </c>
      <c r="D1354">
        <v>402510</v>
      </c>
      <c r="E1354" t="s">
        <v>12</v>
      </c>
      <c r="F1354">
        <v>290001</v>
      </c>
      <c r="G1354" t="s">
        <v>207</v>
      </c>
      <c r="H1354">
        <v>29</v>
      </c>
      <c r="I1354" t="s">
        <v>142</v>
      </c>
      <c r="J1354">
        <v>2</v>
      </c>
      <c r="K1354" s="4">
        <v>14605</v>
      </c>
      <c r="L1354" s="4">
        <v>29210</v>
      </c>
    </row>
    <row r="1355" spans="2:12" ht="12.75">
      <c r="B1355" t="str">
        <f t="shared" si="66"/>
        <v>6193</v>
      </c>
      <c r="C1355" t="s">
        <v>404</v>
      </c>
      <c r="D1355">
        <v>402515</v>
      </c>
      <c r="E1355" t="s">
        <v>15</v>
      </c>
      <c r="F1355">
        <v>400001</v>
      </c>
      <c r="G1355" t="s">
        <v>21</v>
      </c>
      <c r="H1355">
        <v>40</v>
      </c>
      <c r="I1355" t="s">
        <v>50</v>
      </c>
      <c r="J1355">
        <v>1</v>
      </c>
      <c r="K1355" s="4">
        <v>144759</v>
      </c>
      <c r="L1355" s="4">
        <v>144759</v>
      </c>
    </row>
    <row r="1356" spans="2:12" ht="12.75">
      <c r="B1356" t="str">
        <f t="shared" si="66"/>
        <v>6193</v>
      </c>
      <c r="C1356" t="s">
        <v>404</v>
      </c>
      <c r="D1356">
        <v>420202</v>
      </c>
      <c r="E1356" t="s">
        <v>19</v>
      </c>
      <c r="F1356">
        <v>10002</v>
      </c>
      <c r="G1356" t="s">
        <v>20</v>
      </c>
      <c r="H1356">
        <v>1</v>
      </c>
      <c r="I1356" t="s">
        <v>21</v>
      </c>
      <c r="J1356">
        <v>40</v>
      </c>
      <c r="K1356" s="4">
        <v>870</v>
      </c>
      <c r="L1356" s="4">
        <v>34800</v>
      </c>
    </row>
    <row r="1357" spans="2:12" ht="12.75">
      <c r="B1357" t="str">
        <f t="shared" si="66"/>
        <v>6193</v>
      </c>
      <c r="C1357" t="s">
        <v>404</v>
      </c>
      <c r="D1357">
        <v>420202</v>
      </c>
      <c r="E1357" t="s">
        <v>19</v>
      </c>
      <c r="F1357">
        <v>20001</v>
      </c>
      <c r="G1357" t="s">
        <v>29</v>
      </c>
      <c r="H1357">
        <v>2</v>
      </c>
      <c r="I1357" t="s">
        <v>30</v>
      </c>
      <c r="J1357">
        <v>15</v>
      </c>
      <c r="K1357" s="4">
        <v>1200</v>
      </c>
      <c r="L1357" s="4">
        <v>18000</v>
      </c>
    </row>
    <row r="1358" spans="2:12" ht="12.75">
      <c r="B1358" t="str">
        <f t="shared" si="66"/>
        <v>6193</v>
      </c>
      <c r="C1358" t="s">
        <v>404</v>
      </c>
      <c r="D1358">
        <v>420202</v>
      </c>
      <c r="E1358" t="s">
        <v>19</v>
      </c>
      <c r="F1358">
        <v>50001</v>
      </c>
      <c r="G1358" t="s">
        <v>405</v>
      </c>
      <c r="H1358">
        <v>5</v>
      </c>
      <c r="I1358" t="s">
        <v>89</v>
      </c>
      <c r="J1358">
        <v>6</v>
      </c>
      <c r="K1358" s="4">
        <v>1640</v>
      </c>
      <c r="L1358" s="4">
        <v>9840</v>
      </c>
    </row>
    <row r="1359" spans="2:12" ht="12.75">
      <c r="B1359" t="str">
        <f t="shared" si="66"/>
        <v>6193</v>
      </c>
      <c r="C1359" t="s">
        <v>404</v>
      </c>
      <c r="D1359">
        <v>420202</v>
      </c>
      <c r="E1359" t="s">
        <v>19</v>
      </c>
      <c r="F1359">
        <v>60002</v>
      </c>
      <c r="G1359" t="s">
        <v>31</v>
      </c>
      <c r="H1359">
        <v>6</v>
      </c>
      <c r="I1359" t="s">
        <v>32</v>
      </c>
      <c r="J1359">
        <v>20</v>
      </c>
      <c r="K1359" s="4">
        <v>385</v>
      </c>
      <c r="L1359" s="4">
        <v>7700</v>
      </c>
    </row>
    <row r="1360" spans="2:12" ht="12.75">
      <c r="B1360" t="str">
        <f t="shared" si="66"/>
        <v>6193</v>
      </c>
      <c r="C1360" t="s">
        <v>404</v>
      </c>
      <c r="D1360">
        <v>420202</v>
      </c>
      <c r="E1360" t="s">
        <v>19</v>
      </c>
      <c r="F1360">
        <v>60002</v>
      </c>
      <c r="G1360" t="s">
        <v>31</v>
      </c>
      <c r="H1360">
        <v>6</v>
      </c>
      <c r="I1360" t="s">
        <v>32</v>
      </c>
      <c r="J1360">
        <v>4</v>
      </c>
      <c r="K1360" s="4">
        <v>3240</v>
      </c>
      <c r="L1360" s="4">
        <v>12960</v>
      </c>
    </row>
    <row r="1361" spans="2:12" ht="12.75">
      <c r="B1361" t="str">
        <f t="shared" si="66"/>
        <v>6193</v>
      </c>
      <c r="C1361" t="s">
        <v>404</v>
      </c>
      <c r="D1361">
        <v>420202</v>
      </c>
      <c r="E1361" t="s">
        <v>19</v>
      </c>
      <c r="F1361">
        <v>60002</v>
      </c>
      <c r="G1361" t="s">
        <v>31</v>
      </c>
      <c r="H1361">
        <v>6</v>
      </c>
      <c r="I1361" t="s">
        <v>32</v>
      </c>
      <c r="J1361">
        <v>1</v>
      </c>
      <c r="K1361" s="4">
        <v>3240</v>
      </c>
      <c r="L1361" s="4">
        <v>3240</v>
      </c>
    </row>
    <row r="1362" spans="2:12" ht="12.75">
      <c r="B1362" t="str">
        <f t="shared" si="66"/>
        <v>6193</v>
      </c>
      <c r="C1362" t="s">
        <v>404</v>
      </c>
      <c r="D1362">
        <v>420202</v>
      </c>
      <c r="E1362" t="s">
        <v>19</v>
      </c>
      <c r="F1362">
        <v>60003</v>
      </c>
      <c r="G1362" t="s">
        <v>157</v>
      </c>
      <c r="H1362">
        <v>6</v>
      </c>
      <c r="I1362" t="s">
        <v>32</v>
      </c>
      <c r="J1362">
        <v>20</v>
      </c>
      <c r="K1362" s="4">
        <v>100</v>
      </c>
      <c r="L1362" s="4">
        <v>2000</v>
      </c>
    </row>
    <row r="1363" spans="2:12" ht="12.75">
      <c r="B1363" t="str">
        <f t="shared" si="66"/>
        <v>6193</v>
      </c>
      <c r="C1363" t="s">
        <v>404</v>
      </c>
      <c r="D1363">
        <v>420202</v>
      </c>
      <c r="E1363" t="s">
        <v>19</v>
      </c>
      <c r="F1363">
        <v>70002</v>
      </c>
      <c r="G1363" t="s">
        <v>113</v>
      </c>
      <c r="H1363">
        <v>7</v>
      </c>
      <c r="I1363" t="s">
        <v>74</v>
      </c>
      <c r="J1363">
        <v>2</v>
      </c>
      <c r="K1363" s="4">
        <v>195</v>
      </c>
      <c r="L1363" s="4">
        <v>390</v>
      </c>
    </row>
    <row r="1364" spans="2:12" ht="12.75">
      <c r="B1364" t="str">
        <f t="shared" si="66"/>
        <v>6193</v>
      </c>
      <c r="C1364" t="s">
        <v>404</v>
      </c>
      <c r="D1364">
        <v>420222</v>
      </c>
      <c r="E1364" t="s">
        <v>60</v>
      </c>
      <c r="F1364">
        <v>230002</v>
      </c>
      <c r="G1364" t="s">
        <v>214</v>
      </c>
      <c r="H1364">
        <v>23</v>
      </c>
      <c r="I1364" t="s">
        <v>143</v>
      </c>
      <c r="J1364">
        <v>1</v>
      </c>
      <c r="K1364" s="4">
        <v>59000</v>
      </c>
      <c r="L1364" s="4">
        <v>59000</v>
      </c>
    </row>
    <row r="1365" spans="2:12" ht="12.75">
      <c r="B1365" t="str">
        <f t="shared" si="66"/>
        <v>6193</v>
      </c>
      <c r="C1365" t="s">
        <v>404</v>
      </c>
      <c r="D1365">
        <v>420703</v>
      </c>
      <c r="E1365" t="s">
        <v>51</v>
      </c>
      <c r="F1365">
        <v>310005</v>
      </c>
      <c r="G1365" t="s">
        <v>46</v>
      </c>
      <c r="H1365">
        <v>31</v>
      </c>
      <c r="I1365" t="s">
        <v>26</v>
      </c>
      <c r="J1365">
        <v>1</v>
      </c>
      <c r="K1365" s="4">
        <v>37034.04</v>
      </c>
      <c r="L1365" s="4">
        <v>37034.04</v>
      </c>
    </row>
    <row r="1366" spans="2:13" ht="12.75">
      <c r="B1366" t="str">
        <f>"6207"</f>
        <v>6207</v>
      </c>
      <c r="C1366" t="s">
        <v>406</v>
      </c>
      <c r="D1366">
        <v>402007</v>
      </c>
      <c r="E1366" t="s">
        <v>41</v>
      </c>
      <c r="F1366">
        <v>420004</v>
      </c>
      <c r="G1366" t="s">
        <v>25</v>
      </c>
      <c r="H1366">
        <v>42</v>
      </c>
      <c r="I1366" t="s">
        <v>101</v>
      </c>
      <c r="J1366">
        <v>1</v>
      </c>
      <c r="K1366" s="4">
        <v>2529</v>
      </c>
      <c r="L1366" s="4">
        <v>2529</v>
      </c>
      <c r="M1366" t="s">
        <v>399</v>
      </c>
    </row>
    <row r="1367" spans="2:12" ht="12.75">
      <c r="B1367" t="str">
        <f>"7140"</f>
        <v>7140</v>
      </c>
      <c r="C1367" t="s">
        <v>407</v>
      </c>
      <c r="D1367">
        <v>402007</v>
      </c>
      <c r="E1367" t="s">
        <v>41</v>
      </c>
      <c r="F1367">
        <v>350005</v>
      </c>
      <c r="G1367" t="s">
        <v>96</v>
      </c>
      <c r="H1367">
        <v>35</v>
      </c>
      <c r="I1367" t="s">
        <v>17</v>
      </c>
      <c r="J1367">
        <v>1</v>
      </c>
      <c r="K1367" s="4">
        <v>390836</v>
      </c>
      <c r="L1367" s="4">
        <v>390836</v>
      </c>
    </row>
    <row r="1368" spans="2:12" ht="12.75">
      <c r="B1368" t="str">
        <f>"7867"</f>
        <v>7867</v>
      </c>
      <c r="C1368" t="s">
        <v>408</v>
      </c>
      <c r="D1368">
        <v>402007</v>
      </c>
      <c r="E1368" t="s">
        <v>41</v>
      </c>
      <c r="F1368">
        <v>350005</v>
      </c>
      <c r="G1368" t="s">
        <v>96</v>
      </c>
      <c r="H1368">
        <v>35</v>
      </c>
      <c r="I1368" t="s">
        <v>17</v>
      </c>
      <c r="J1368">
        <v>1</v>
      </c>
      <c r="K1368" s="4">
        <v>985723</v>
      </c>
      <c r="L1368" s="4">
        <v>985723</v>
      </c>
    </row>
    <row r="1369" spans="2:13" ht="12.75">
      <c r="B1369" t="str">
        <f>"7963"</f>
        <v>7963</v>
      </c>
      <c r="C1369" t="s">
        <v>398</v>
      </c>
      <c r="D1369">
        <v>402007</v>
      </c>
      <c r="E1369" t="s">
        <v>41</v>
      </c>
      <c r="F1369">
        <v>430009</v>
      </c>
      <c r="G1369" t="s">
        <v>25</v>
      </c>
      <c r="H1369">
        <v>43</v>
      </c>
      <c r="I1369" t="s">
        <v>56</v>
      </c>
      <c r="J1369">
        <v>4</v>
      </c>
      <c r="K1369" s="4">
        <v>766.25</v>
      </c>
      <c r="L1369" s="4">
        <v>3065</v>
      </c>
      <c r="M1369" t="s">
        <v>399</v>
      </c>
    </row>
    <row r="1370" spans="2:12" ht="12.75">
      <c r="B1370" t="str">
        <f>"9302"</f>
        <v>9302</v>
      </c>
      <c r="C1370" t="s">
        <v>409</v>
      </c>
      <c r="D1370">
        <v>402007</v>
      </c>
      <c r="E1370" t="s">
        <v>41</v>
      </c>
      <c r="F1370">
        <v>310001</v>
      </c>
      <c r="G1370" t="s">
        <v>175</v>
      </c>
      <c r="H1370">
        <v>31</v>
      </c>
      <c r="I1370" t="s">
        <v>26</v>
      </c>
      <c r="J1370">
        <v>1</v>
      </c>
      <c r="K1370" s="4">
        <v>13732</v>
      </c>
      <c r="L1370" s="4">
        <v>13732</v>
      </c>
    </row>
    <row r="1371" spans="2:12" ht="12.75">
      <c r="B1371" t="str">
        <f>"9302"</f>
        <v>9302</v>
      </c>
      <c r="C1371" t="s">
        <v>409</v>
      </c>
      <c r="D1371">
        <v>420704</v>
      </c>
      <c r="E1371" t="s">
        <v>24</v>
      </c>
      <c r="F1371">
        <v>450005</v>
      </c>
      <c r="G1371" t="s">
        <v>42</v>
      </c>
      <c r="H1371">
        <v>45</v>
      </c>
      <c r="I1371" t="s">
        <v>43</v>
      </c>
      <c r="J1371">
        <v>1</v>
      </c>
      <c r="K1371" s="4">
        <v>40127</v>
      </c>
      <c r="L1371" s="4">
        <v>40127</v>
      </c>
    </row>
    <row r="1372" spans="2:12" ht="12.75">
      <c r="B1372" t="str">
        <f>"9402"</f>
        <v>9402</v>
      </c>
      <c r="C1372" t="s">
        <v>410</v>
      </c>
      <c r="D1372">
        <v>402007</v>
      </c>
      <c r="E1372" t="s">
        <v>41</v>
      </c>
      <c r="F1372">
        <v>310001</v>
      </c>
      <c r="G1372" t="s">
        <v>175</v>
      </c>
      <c r="H1372">
        <v>31</v>
      </c>
      <c r="I1372" t="s">
        <v>26</v>
      </c>
      <c r="J1372">
        <v>1</v>
      </c>
      <c r="K1372" s="4">
        <v>4577</v>
      </c>
      <c r="L1372" s="4">
        <v>4577</v>
      </c>
    </row>
    <row r="1373" spans="2:12" ht="12.75">
      <c r="B1373" t="str">
        <f>"9402"</f>
        <v>9402</v>
      </c>
      <c r="C1373" t="s">
        <v>410</v>
      </c>
      <c r="D1373">
        <v>420704</v>
      </c>
      <c r="E1373" t="s">
        <v>24</v>
      </c>
      <c r="F1373">
        <v>450005</v>
      </c>
      <c r="G1373" t="s">
        <v>42</v>
      </c>
      <c r="H1373">
        <v>45</v>
      </c>
      <c r="I1373" t="s">
        <v>43</v>
      </c>
      <c r="J1373">
        <v>1</v>
      </c>
      <c r="K1373" s="4">
        <v>13376</v>
      </c>
      <c r="L1373" s="4">
        <v>13376</v>
      </c>
    </row>
    <row r="1374" spans="1:2" ht="12.75">
      <c r="A1374" t="s">
        <v>47</v>
      </c>
      <c r="B1374">
        <f>SUM(L1334:L1373)</f>
        <v>5721093.04</v>
      </c>
    </row>
    <row r="1376" ht="12.75">
      <c r="A1376" t="str">
        <f>"2613 - Inšpektorat RS za delo, verzija: 1"</f>
        <v>2613 - Inšpektorat RS za delo, verzija: 1</v>
      </c>
    </row>
    <row r="1377" spans="2:13" ht="12.75">
      <c r="B1377" t="s">
        <v>3</v>
      </c>
      <c r="D1377" t="s">
        <v>4</v>
      </c>
      <c r="F1377" t="s">
        <v>5</v>
      </c>
      <c r="H1377" t="s">
        <v>6</v>
      </c>
      <c r="J1377" t="s">
        <v>7</v>
      </c>
      <c r="K1377" s="4" t="s">
        <v>8</v>
      </c>
      <c r="L1377" s="4" t="s">
        <v>9</v>
      </c>
      <c r="M1377" t="s">
        <v>10</v>
      </c>
    </row>
    <row r="1378" spans="2:12" ht="12.75">
      <c r="B1378" t="str">
        <f>"4258"</f>
        <v>4258</v>
      </c>
      <c r="C1378" t="s">
        <v>411</v>
      </c>
      <c r="D1378">
        <v>402510</v>
      </c>
      <c r="E1378" t="s">
        <v>12</v>
      </c>
      <c r="F1378">
        <v>400014</v>
      </c>
      <c r="G1378" t="s">
        <v>38</v>
      </c>
      <c r="H1378">
        <v>40</v>
      </c>
      <c r="I1378" t="s">
        <v>50</v>
      </c>
      <c r="J1378">
        <v>1</v>
      </c>
      <c r="K1378" s="4">
        <v>1000</v>
      </c>
      <c r="L1378" s="4">
        <v>1000</v>
      </c>
    </row>
    <row r="1379" spans="2:13" ht="12.75">
      <c r="B1379" t="str">
        <f>"4528"</f>
        <v>4528</v>
      </c>
      <c r="C1379" t="s">
        <v>40</v>
      </c>
      <c r="D1379">
        <v>402510</v>
      </c>
      <c r="E1379" t="s">
        <v>12</v>
      </c>
      <c r="F1379">
        <v>400001</v>
      </c>
      <c r="G1379" t="s">
        <v>21</v>
      </c>
      <c r="H1379">
        <v>40</v>
      </c>
      <c r="I1379" t="s">
        <v>50</v>
      </c>
      <c r="J1379">
        <v>1</v>
      </c>
      <c r="K1379" s="4">
        <v>1000</v>
      </c>
      <c r="L1379" s="4">
        <v>1000</v>
      </c>
      <c r="M1379" t="s">
        <v>412</v>
      </c>
    </row>
    <row r="1380" spans="2:13" ht="12.75">
      <c r="B1380" t="str">
        <f>"4528"</f>
        <v>4528</v>
      </c>
      <c r="C1380" t="s">
        <v>40</v>
      </c>
      <c r="D1380">
        <v>402510</v>
      </c>
      <c r="E1380" t="s">
        <v>12</v>
      </c>
      <c r="F1380">
        <v>410001</v>
      </c>
      <c r="G1380" t="s">
        <v>13</v>
      </c>
      <c r="H1380">
        <v>41</v>
      </c>
      <c r="I1380" t="s">
        <v>14</v>
      </c>
      <c r="J1380">
        <v>1</v>
      </c>
      <c r="K1380" s="4">
        <v>1500</v>
      </c>
      <c r="L1380" s="4">
        <v>1500</v>
      </c>
      <c r="M1380" t="s">
        <v>412</v>
      </c>
    </row>
    <row r="1381" spans="2:12" ht="12.75">
      <c r="B1381" t="str">
        <f>"4528"</f>
        <v>4528</v>
      </c>
      <c r="C1381" t="s">
        <v>40</v>
      </c>
      <c r="D1381">
        <v>420704</v>
      </c>
      <c r="E1381" t="s">
        <v>24</v>
      </c>
      <c r="F1381">
        <v>310005</v>
      </c>
      <c r="G1381" t="s">
        <v>46</v>
      </c>
      <c r="H1381">
        <v>31</v>
      </c>
      <c r="I1381" t="s">
        <v>26</v>
      </c>
      <c r="J1381">
        <v>1</v>
      </c>
      <c r="K1381" s="4">
        <v>25037</v>
      </c>
      <c r="L1381" s="4">
        <v>25037</v>
      </c>
    </row>
    <row r="1382" spans="2:12" ht="12.75">
      <c r="B1382" t="str">
        <f aca="true" t="shared" si="67" ref="B1382:B1387">"7890"</f>
        <v>7890</v>
      </c>
      <c r="C1382" t="s">
        <v>27</v>
      </c>
      <c r="D1382">
        <v>420202</v>
      </c>
      <c r="E1382" t="s">
        <v>19</v>
      </c>
      <c r="F1382">
        <v>10002</v>
      </c>
      <c r="G1382" t="s">
        <v>20</v>
      </c>
      <c r="H1382">
        <v>1</v>
      </c>
      <c r="I1382" t="s">
        <v>21</v>
      </c>
      <c r="J1382">
        <v>12</v>
      </c>
      <c r="K1382" s="4">
        <v>600</v>
      </c>
      <c r="L1382" s="4">
        <v>7200</v>
      </c>
    </row>
    <row r="1383" spans="2:12" ht="12.75">
      <c r="B1383" t="str">
        <f t="shared" si="67"/>
        <v>7890</v>
      </c>
      <c r="C1383" t="s">
        <v>27</v>
      </c>
      <c r="D1383">
        <v>420202</v>
      </c>
      <c r="E1383" t="s">
        <v>19</v>
      </c>
      <c r="F1383">
        <v>20002</v>
      </c>
      <c r="G1383" t="s">
        <v>58</v>
      </c>
      <c r="H1383">
        <v>2</v>
      </c>
      <c r="I1383" t="s">
        <v>30</v>
      </c>
      <c r="J1383">
        <v>3</v>
      </c>
      <c r="K1383" s="4">
        <v>1000</v>
      </c>
      <c r="L1383" s="4">
        <v>3000</v>
      </c>
    </row>
    <row r="1384" spans="2:12" ht="12.75">
      <c r="B1384" t="str">
        <f t="shared" si="67"/>
        <v>7890</v>
      </c>
      <c r="C1384" t="s">
        <v>27</v>
      </c>
      <c r="D1384">
        <v>420202</v>
      </c>
      <c r="E1384" t="s">
        <v>19</v>
      </c>
      <c r="F1384">
        <v>40001</v>
      </c>
      <c r="G1384" t="s">
        <v>59</v>
      </c>
      <c r="H1384">
        <v>4</v>
      </c>
      <c r="I1384" t="s">
        <v>23</v>
      </c>
      <c r="J1384">
        <v>12</v>
      </c>
      <c r="K1384" s="4">
        <v>200</v>
      </c>
      <c r="L1384" s="4">
        <v>2400</v>
      </c>
    </row>
    <row r="1385" spans="2:12" ht="12.75">
      <c r="B1385" t="str">
        <f t="shared" si="67"/>
        <v>7890</v>
      </c>
      <c r="C1385" t="s">
        <v>27</v>
      </c>
      <c r="D1385">
        <v>420202</v>
      </c>
      <c r="E1385" t="s">
        <v>19</v>
      </c>
      <c r="F1385">
        <v>60002</v>
      </c>
      <c r="G1385" t="s">
        <v>31</v>
      </c>
      <c r="H1385">
        <v>6</v>
      </c>
      <c r="I1385" t="s">
        <v>32</v>
      </c>
      <c r="J1385">
        <v>3</v>
      </c>
      <c r="K1385" s="4">
        <v>400</v>
      </c>
      <c r="L1385" s="4">
        <v>1200</v>
      </c>
    </row>
    <row r="1386" spans="2:12" ht="12.75">
      <c r="B1386" t="str">
        <f t="shared" si="67"/>
        <v>7890</v>
      </c>
      <c r="C1386" t="s">
        <v>27</v>
      </c>
      <c r="D1386">
        <v>420202</v>
      </c>
      <c r="E1386" t="s">
        <v>19</v>
      </c>
      <c r="F1386">
        <v>70003</v>
      </c>
      <c r="G1386" t="s">
        <v>73</v>
      </c>
      <c r="H1386">
        <v>7</v>
      </c>
      <c r="I1386" t="s">
        <v>74</v>
      </c>
      <c r="J1386">
        <v>1</v>
      </c>
      <c r="K1386" s="4">
        <v>1600</v>
      </c>
      <c r="L1386" s="4">
        <v>1600</v>
      </c>
    </row>
    <row r="1387" spans="2:12" ht="12.75">
      <c r="B1387" t="str">
        <f t="shared" si="67"/>
        <v>7890</v>
      </c>
      <c r="C1387" t="s">
        <v>27</v>
      </c>
      <c r="D1387">
        <v>420704</v>
      </c>
      <c r="E1387" t="s">
        <v>24</v>
      </c>
      <c r="F1387">
        <v>410006</v>
      </c>
      <c r="G1387" t="s">
        <v>148</v>
      </c>
      <c r="H1387">
        <v>41</v>
      </c>
      <c r="I1387" t="s">
        <v>14</v>
      </c>
      <c r="J1387">
        <v>1</v>
      </c>
      <c r="K1387" s="4">
        <v>5000</v>
      </c>
      <c r="L1387" s="4">
        <v>5000</v>
      </c>
    </row>
    <row r="1388" spans="1:2" ht="12.75">
      <c r="A1388" t="s">
        <v>47</v>
      </c>
      <c r="B1388">
        <f>SUM(L1378:L1387)</f>
        <v>48937</v>
      </c>
    </row>
    <row r="1390" ht="12.75">
      <c r="A1390" t="str">
        <f>"2711 - Ministrstvo za zdravje, verzija: 1"</f>
        <v>2711 - Ministrstvo za zdravje, verzija: 1</v>
      </c>
    </row>
    <row r="1391" spans="2:13" ht="12.75">
      <c r="B1391" t="s">
        <v>3</v>
      </c>
      <c r="D1391" t="s">
        <v>4</v>
      </c>
      <c r="F1391" t="s">
        <v>5</v>
      </c>
      <c r="H1391" t="s">
        <v>6</v>
      </c>
      <c r="J1391" t="s">
        <v>7</v>
      </c>
      <c r="K1391" s="4" t="s">
        <v>8</v>
      </c>
      <c r="L1391" s="4" t="s">
        <v>9</v>
      </c>
      <c r="M1391" t="s">
        <v>10</v>
      </c>
    </row>
    <row r="1392" spans="2:12" ht="12.75">
      <c r="B1392" t="str">
        <f aca="true" t="shared" si="68" ref="B1392:B1403">"2913"</f>
        <v>2913</v>
      </c>
      <c r="C1392" t="s">
        <v>27</v>
      </c>
      <c r="D1392">
        <v>420202</v>
      </c>
      <c r="E1392" t="s">
        <v>19</v>
      </c>
      <c r="F1392">
        <v>10003</v>
      </c>
      <c r="G1392" t="s">
        <v>28</v>
      </c>
      <c r="H1392">
        <v>1</v>
      </c>
      <c r="I1392" t="s">
        <v>21</v>
      </c>
      <c r="J1392">
        <v>35</v>
      </c>
      <c r="K1392" s="4">
        <v>563</v>
      </c>
      <c r="L1392" s="4">
        <v>19705</v>
      </c>
    </row>
    <row r="1393" spans="2:12" ht="12.75">
      <c r="B1393" t="str">
        <f t="shared" si="68"/>
        <v>2913</v>
      </c>
      <c r="C1393" t="s">
        <v>27</v>
      </c>
      <c r="D1393">
        <v>420202</v>
      </c>
      <c r="E1393" t="s">
        <v>19</v>
      </c>
      <c r="F1393">
        <v>20001</v>
      </c>
      <c r="G1393" t="s">
        <v>29</v>
      </c>
      <c r="H1393">
        <v>2</v>
      </c>
      <c r="I1393" t="s">
        <v>30</v>
      </c>
      <c r="J1393">
        <v>5</v>
      </c>
      <c r="K1393" s="4">
        <v>2086</v>
      </c>
      <c r="L1393" s="4">
        <v>10430</v>
      </c>
    </row>
    <row r="1394" spans="2:12" ht="12.75">
      <c r="B1394" t="str">
        <f t="shared" si="68"/>
        <v>2913</v>
      </c>
      <c r="C1394" t="s">
        <v>27</v>
      </c>
      <c r="D1394">
        <v>420202</v>
      </c>
      <c r="E1394" t="s">
        <v>19</v>
      </c>
      <c r="F1394">
        <v>40001</v>
      </c>
      <c r="G1394" t="s">
        <v>59</v>
      </c>
      <c r="H1394">
        <v>4</v>
      </c>
      <c r="I1394" t="s">
        <v>23</v>
      </c>
      <c r="J1394">
        <v>32</v>
      </c>
      <c r="K1394" s="4">
        <v>209</v>
      </c>
      <c r="L1394" s="4">
        <v>6688</v>
      </c>
    </row>
    <row r="1395" spans="2:12" ht="12.75">
      <c r="B1395" t="str">
        <f t="shared" si="68"/>
        <v>2913</v>
      </c>
      <c r="C1395" t="s">
        <v>27</v>
      </c>
      <c r="D1395">
        <v>420202</v>
      </c>
      <c r="E1395" t="s">
        <v>19</v>
      </c>
      <c r="F1395">
        <v>60002</v>
      </c>
      <c r="G1395" t="s">
        <v>31</v>
      </c>
      <c r="H1395">
        <v>6</v>
      </c>
      <c r="I1395" t="s">
        <v>32</v>
      </c>
      <c r="J1395">
        <v>10</v>
      </c>
      <c r="K1395" s="4">
        <v>282</v>
      </c>
      <c r="L1395" s="4">
        <v>2820</v>
      </c>
    </row>
    <row r="1396" spans="2:13" ht="12.75">
      <c r="B1396" t="str">
        <f t="shared" si="68"/>
        <v>2913</v>
      </c>
      <c r="C1396" t="s">
        <v>27</v>
      </c>
      <c r="D1396">
        <v>420202</v>
      </c>
      <c r="E1396" t="s">
        <v>19</v>
      </c>
      <c r="F1396">
        <v>60002</v>
      </c>
      <c r="G1396" t="s">
        <v>31</v>
      </c>
      <c r="H1396">
        <v>6</v>
      </c>
      <c r="I1396" t="s">
        <v>32</v>
      </c>
      <c r="J1396">
        <v>1</v>
      </c>
      <c r="K1396" s="4">
        <v>2087</v>
      </c>
      <c r="L1396" s="4">
        <v>2087</v>
      </c>
      <c r="M1396" t="s">
        <v>413</v>
      </c>
    </row>
    <row r="1397" spans="2:13" ht="12.75">
      <c r="B1397" t="str">
        <f t="shared" si="68"/>
        <v>2913</v>
      </c>
      <c r="C1397" t="s">
        <v>27</v>
      </c>
      <c r="D1397">
        <v>420202</v>
      </c>
      <c r="E1397" t="s">
        <v>19</v>
      </c>
      <c r="F1397">
        <v>60002</v>
      </c>
      <c r="G1397" t="s">
        <v>31</v>
      </c>
      <c r="H1397">
        <v>6</v>
      </c>
      <c r="I1397" t="s">
        <v>32</v>
      </c>
      <c r="J1397">
        <v>1</v>
      </c>
      <c r="K1397" s="4">
        <v>2086</v>
      </c>
      <c r="L1397" s="4">
        <v>2086</v>
      </c>
      <c r="M1397" t="s">
        <v>414</v>
      </c>
    </row>
    <row r="1398" spans="2:13" ht="12.75">
      <c r="B1398" t="str">
        <f t="shared" si="68"/>
        <v>2913</v>
      </c>
      <c r="C1398" t="s">
        <v>27</v>
      </c>
      <c r="D1398">
        <v>420222</v>
      </c>
      <c r="E1398" t="s">
        <v>60</v>
      </c>
      <c r="F1398">
        <v>190008</v>
      </c>
      <c r="G1398" t="s">
        <v>87</v>
      </c>
      <c r="H1398">
        <v>19</v>
      </c>
      <c r="I1398" t="s">
        <v>62</v>
      </c>
      <c r="J1398">
        <v>2</v>
      </c>
      <c r="K1398" s="4">
        <v>12519</v>
      </c>
      <c r="L1398" s="4">
        <v>25038</v>
      </c>
      <c r="M1398" t="s">
        <v>415</v>
      </c>
    </row>
    <row r="1399" spans="2:13" ht="12.75">
      <c r="B1399" t="str">
        <f t="shared" si="68"/>
        <v>2913</v>
      </c>
      <c r="C1399" t="s">
        <v>27</v>
      </c>
      <c r="D1399">
        <v>420222</v>
      </c>
      <c r="E1399" t="s">
        <v>60</v>
      </c>
      <c r="F1399">
        <v>240002</v>
      </c>
      <c r="G1399" t="s">
        <v>166</v>
      </c>
      <c r="H1399">
        <v>24</v>
      </c>
      <c r="I1399" t="s">
        <v>118</v>
      </c>
      <c r="J1399">
        <v>1</v>
      </c>
      <c r="K1399" s="4">
        <v>37556</v>
      </c>
      <c r="L1399" s="4">
        <v>37556</v>
      </c>
      <c r="M1399" t="s">
        <v>416</v>
      </c>
    </row>
    <row r="1400" spans="2:13" ht="12.75">
      <c r="B1400" t="str">
        <f t="shared" si="68"/>
        <v>2913</v>
      </c>
      <c r="C1400" t="s">
        <v>27</v>
      </c>
      <c r="D1400">
        <v>420238</v>
      </c>
      <c r="E1400" t="s">
        <v>34</v>
      </c>
      <c r="F1400">
        <v>400024</v>
      </c>
      <c r="G1400" t="s">
        <v>25</v>
      </c>
      <c r="H1400">
        <v>40</v>
      </c>
      <c r="I1400" t="s">
        <v>50</v>
      </c>
      <c r="J1400">
        <v>15</v>
      </c>
      <c r="K1400" s="4">
        <v>150</v>
      </c>
      <c r="L1400" s="4">
        <v>2250</v>
      </c>
      <c r="M1400" t="s">
        <v>417</v>
      </c>
    </row>
    <row r="1401" spans="2:12" ht="12.75">
      <c r="B1401" t="str">
        <f t="shared" si="68"/>
        <v>2913</v>
      </c>
      <c r="C1401" t="s">
        <v>27</v>
      </c>
      <c r="D1401">
        <v>420248</v>
      </c>
      <c r="E1401" t="s">
        <v>36</v>
      </c>
      <c r="F1401">
        <v>120001</v>
      </c>
      <c r="G1401" t="s">
        <v>114</v>
      </c>
      <c r="H1401">
        <v>12</v>
      </c>
      <c r="I1401" t="s">
        <v>38</v>
      </c>
      <c r="J1401">
        <v>1</v>
      </c>
      <c r="K1401" s="4">
        <v>2086</v>
      </c>
      <c r="L1401" s="4">
        <v>2086</v>
      </c>
    </row>
    <row r="1402" spans="2:13" ht="12.75">
      <c r="B1402" t="str">
        <f t="shared" si="68"/>
        <v>2913</v>
      </c>
      <c r="C1402" t="s">
        <v>27</v>
      </c>
      <c r="D1402">
        <v>420704</v>
      </c>
      <c r="E1402" t="s">
        <v>24</v>
      </c>
      <c r="F1402">
        <v>310009</v>
      </c>
      <c r="G1402" t="s">
        <v>25</v>
      </c>
      <c r="H1402">
        <v>31</v>
      </c>
      <c r="I1402" t="s">
        <v>26</v>
      </c>
      <c r="J1402">
        <v>1</v>
      </c>
      <c r="K1402" s="4">
        <v>30000</v>
      </c>
      <c r="L1402" s="4">
        <v>30000</v>
      </c>
      <c r="M1402" t="s">
        <v>418</v>
      </c>
    </row>
    <row r="1403" spans="2:13" ht="12.75">
      <c r="B1403" t="str">
        <f t="shared" si="68"/>
        <v>2913</v>
      </c>
      <c r="C1403" t="s">
        <v>27</v>
      </c>
      <c r="D1403">
        <v>420704</v>
      </c>
      <c r="E1403" t="s">
        <v>24</v>
      </c>
      <c r="F1403">
        <v>310009</v>
      </c>
      <c r="G1403" t="s">
        <v>25</v>
      </c>
      <c r="H1403">
        <v>31</v>
      </c>
      <c r="I1403" t="s">
        <v>26</v>
      </c>
      <c r="J1403">
        <v>1</v>
      </c>
      <c r="K1403" s="4">
        <v>30000</v>
      </c>
      <c r="L1403" s="4">
        <v>30000</v>
      </c>
      <c r="M1403" t="s">
        <v>419</v>
      </c>
    </row>
    <row r="1404" spans="2:12" ht="12.75">
      <c r="B1404" t="str">
        <f aca="true" t="shared" si="69" ref="B1404:B1413">"3347"</f>
        <v>3347</v>
      </c>
      <c r="C1404" t="s">
        <v>40</v>
      </c>
      <c r="D1404">
        <v>402011</v>
      </c>
      <c r="E1404" t="s">
        <v>54</v>
      </c>
      <c r="F1404">
        <v>430007</v>
      </c>
      <c r="G1404" t="s">
        <v>55</v>
      </c>
      <c r="H1404">
        <v>43</v>
      </c>
      <c r="I1404" t="s">
        <v>56</v>
      </c>
      <c r="J1404">
        <v>1</v>
      </c>
      <c r="K1404" s="4">
        <v>40000</v>
      </c>
      <c r="L1404" s="4">
        <v>40000</v>
      </c>
    </row>
    <row r="1405" spans="2:12" ht="12.75">
      <c r="B1405" t="str">
        <f t="shared" si="69"/>
        <v>3347</v>
      </c>
      <c r="C1405" t="s">
        <v>40</v>
      </c>
      <c r="D1405">
        <v>402510</v>
      </c>
      <c r="E1405" t="s">
        <v>12</v>
      </c>
      <c r="F1405">
        <v>350003</v>
      </c>
      <c r="G1405" t="s">
        <v>44</v>
      </c>
      <c r="H1405">
        <v>35</v>
      </c>
      <c r="I1405" t="s">
        <v>17</v>
      </c>
      <c r="J1405">
        <v>1</v>
      </c>
      <c r="K1405" s="4">
        <v>2086</v>
      </c>
      <c r="L1405" s="4">
        <v>2086</v>
      </c>
    </row>
    <row r="1406" spans="2:12" ht="12.75">
      <c r="B1406" t="str">
        <f t="shared" si="69"/>
        <v>3347</v>
      </c>
      <c r="C1406" t="s">
        <v>40</v>
      </c>
      <c r="D1406">
        <v>402514</v>
      </c>
      <c r="E1406" t="s">
        <v>45</v>
      </c>
      <c r="F1406">
        <v>350005</v>
      </c>
      <c r="G1406" t="s">
        <v>96</v>
      </c>
      <c r="H1406">
        <v>35</v>
      </c>
      <c r="I1406" t="s">
        <v>17</v>
      </c>
      <c r="J1406">
        <v>1</v>
      </c>
      <c r="K1406" s="4">
        <v>20000</v>
      </c>
      <c r="L1406" s="4">
        <v>20000</v>
      </c>
    </row>
    <row r="1407" spans="2:12" ht="12.75">
      <c r="B1407" t="str">
        <f t="shared" si="69"/>
        <v>3347</v>
      </c>
      <c r="C1407" t="s">
        <v>40</v>
      </c>
      <c r="D1407">
        <v>402514</v>
      </c>
      <c r="E1407" t="s">
        <v>45</v>
      </c>
      <c r="F1407">
        <v>350005</v>
      </c>
      <c r="G1407" t="s">
        <v>96</v>
      </c>
      <c r="H1407">
        <v>35</v>
      </c>
      <c r="I1407" t="s">
        <v>17</v>
      </c>
      <c r="J1407">
        <v>1</v>
      </c>
      <c r="K1407" s="4">
        <v>10000</v>
      </c>
      <c r="L1407" s="4">
        <v>10000</v>
      </c>
    </row>
    <row r="1408" spans="2:12" ht="12.75">
      <c r="B1408" t="str">
        <f t="shared" si="69"/>
        <v>3347</v>
      </c>
      <c r="C1408" t="s">
        <v>40</v>
      </c>
      <c r="D1408">
        <v>402514</v>
      </c>
      <c r="E1408" t="s">
        <v>45</v>
      </c>
      <c r="F1408">
        <v>410001</v>
      </c>
      <c r="G1408" t="s">
        <v>13</v>
      </c>
      <c r="H1408">
        <v>41</v>
      </c>
      <c r="I1408" t="s">
        <v>14</v>
      </c>
      <c r="J1408">
        <v>2</v>
      </c>
      <c r="K1408" s="4">
        <v>4173</v>
      </c>
      <c r="L1408" s="4">
        <v>8346</v>
      </c>
    </row>
    <row r="1409" spans="2:12" ht="12.75">
      <c r="B1409" t="str">
        <f t="shared" si="69"/>
        <v>3347</v>
      </c>
      <c r="C1409" t="s">
        <v>40</v>
      </c>
      <c r="D1409">
        <v>402514</v>
      </c>
      <c r="E1409" t="s">
        <v>45</v>
      </c>
      <c r="F1409">
        <v>410005</v>
      </c>
      <c r="G1409" t="s">
        <v>190</v>
      </c>
      <c r="H1409">
        <v>41</v>
      </c>
      <c r="I1409" t="s">
        <v>14</v>
      </c>
      <c r="J1409">
        <v>1</v>
      </c>
      <c r="K1409" s="4">
        <v>12519</v>
      </c>
      <c r="L1409" s="4">
        <v>12519</v>
      </c>
    </row>
    <row r="1410" spans="2:12" ht="12.75">
      <c r="B1410" t="str">
        <f t="shared" si="69"/>
        <v>3347</v>
      </c>
      <c r="C1410" t="s">
        <v>40</v>
      </c>
      <c r="D1410">
        <v>402514</v>
      </c>
      <c r="E1410" t="s">
        <v>45</v>
      </c>
      <c r="F1410">
        <v>410006</v>
      </c>
      <c r="G1410" t="s">
        <v>148</v>
      </c>
      <c r="H1410">
        <v>41</v>
      </c>
      <c r="I1410" t="s">
        <v>14</v>
      </c>
      <c r="J1410">
        <v>1</v>
      </c>
      <c r="K1410" s="4">
        <v>8346</v>
      </c>
      <c r="L1410" s="4">
        <v>8346</v>
      </c>
    </row>
    <row r="1411" spans="2:12" ht="12.75">
      <c r="B1411" t="str">
        <f t="shared" si="69"/>
        <v>3347</v>
      </c>
      <c r="C1411" t="s">
        <v>40</v>
      </c>
      <c r="D1411">
        <v>402515</v>
      </c>
      <c r="E1411" t="s">
        <v>15</v>
      </c>
      <c r="F1411">
        <v>400023</v>
      </c>
      <c r="G1411" t="s">
        <v>94</v>
      </c>
      <c r="H1411">
        <v>40</v>
      </c>
      <c r="I1411" t="s">
        <v>50</v>
      </c>
      <c r="J1411">
        <v>1</v>
      </c>
      <c r="K1411" s="4">
        <v>5842</v>
      </c>
      <c r="L1411" s="4">
        <v>5842</v>
      </c>
    </row>
    <row r="1412" spans="2:12" ht="12.75">
      <c r="B1412" t="str">
        <f t="shared" si="69"/>
        <v>3347</v>
      </c>
      <c r="C1412" t="s">
        <v>40</v>
      </c>
      <c r="D1412">
        <v>402941</v>
      </c>
      <c r="E1412" t="s">
        <v>98</v>
      </c>
      <c r="F1412">
        <v>440001</v>
      </c>
      <c r="G1412" t="s">
        <v>192</v>
      </c>
      <c r="H1412">
        <v>44</v>
      </c>
      <c r="I1412" t="s">
        <v>99</v>
      </c>
      <c r="J1412">
        <v>1</v>
      </c>
      <c r="K1412" s="4">
        <v>10000</v>
      </c>
      <c r="L1412" s="4">
        <v>10000</v>
      </c>
    </row>
    <row r="1413" spans="2:12" ht="12.75">
      <c r="B1413" t="str">
        <f t="shared" si="69"/>
        <v>3347</v>
      </c>
      <c r="C1413" t="s">
        <v>40</v>
      </c>
      <c r="D1413">
        <v>402941</v>
      </c>
      <c r="E1413" t="s">
        <v>98</v>
      </c>
      <c r="F1413">
        <v>440002</v>
      </c>
      <c r="G1413" t="s">
        <v>155</v>
      </c>
      <c r="H1413">
        <v>44</v>
      </c>
      <c r="I1413" t="s">
        <v>99</v>
      </c>
      <c r="J1413">
        <v>1</v>
      </c>
      <c r="K1413" s="4">
        <v>2086</v>
      </c>
      <c r="L1413" s="4">
        <v>2086</v>
      </c>
    </row>
    <row r="1414" spans="2:13" ht="12.75">
      <c r="B1414" t="str">
        <f>"3995"</f>
        <v>3995</v>
      </c>
      <c r="C1414" t="s">
        <v>420</v>
      </c>
      <c r="D1414">
        <v>402007</v>
      </c>
      <c r="E1414" t="s">
        <v>41</v>
      </c>
      <c r="F1414">
        <v>360006</v>
      </c>
      <c r="G1414" t="s">
        <v>151</v>
      </c>
      <c r="H1414">
        <v>36</v>
      </c>
      <c r="I1414" t="s">
        <v>124</v>
      </c>
      <c r="J1414">
        <v>1</v>
      </c>
      <c r="K1414" s="4">
        <v>6200</v>
      </c>
      <c r="L1414" s="4">
        <v>6200</v>
      </c>
      <c r="M1414" t="s">
        <v>421</v>
      </c>
    </row>
    <row r="1415" spans="2:13" ht="12.75">
      <c r="B1415" t="str">
        <f>"3995"</f>
        <v>3995</v>
      </c>
      <c r="C1415" t="s">
        <v>420</v>
      </c>
      <c r="D1415">
        <v>402514</v>
      </c>
      <c r="E1415" t="s">
        <v>45</v>
      </c>
      <c r="F1415">
        <v>410007</v>
      </c>
      <c r="G1415" t="s">
        <v>25</v>
      </c>
      <c r="H1415">
        <v>41</v>
      </c>
      <c r="I1415" t="s">
        <v>14</v>
      </c>
      <c r="J1415">
        <v>1</v>
      </c>
      <c r="K1415" s="4">
        <v>1845</v>
      </c>
      <c r="L1415" s="4">
        <v>1845</v>
      </c>
      <c r="M1415" t="s">
        <v>422</v>
      </c>
    </row>
    <row r="1416" spans="2:12" ht="12.75">
      <c r="B1416" t="str">
        <f aca="true" t="shared" si="70" ref="B1416:B1422">"5841"</f>
        <v>5841</v>
      </c>
      <c r="C1416" t="s">
        <v>423</v>
      </c>
      <c r="D1416">
        <v>402007</v>
      </c>
      <c r="E1416" t="s">
        <v>41</v>
      </c>
      <c r="F1416">
        <v>430001</v>
      </c>
      <c r="G1416" t="s">
        <v>224</v>
      </c>
      <c r="H1416">
        <v>43</v>
      </c>
      <c r="I1416" t="s">
        <v>56</v>
      </c>
      <c r="J1416">
        <v>1</v>
      </c>
      <c r="K1416" s="4">
        <v>60000</v>
      </c>
      <c r="L1416" s="4">
        <v>60000</v>
      </c>
    </row>
    <row r="1417" spans="2:12" ht="12.75">
      <c r="B1417" t="str">
        <f t="shared" si="70"/>
        <v>5841</v>
      </c>
      <c r="C1417" t="s">
        <v>423</v>
      </c>
      <c r="D1417">
        <v>402007</v>
      </c>
      <c r="E1417" t="s">
        <v>41</v>
      </c>
      <c r="F1417">
        <v>430002</v>
      </c>
      <c r="G1417" t="s">
        <v>424</v>
      </c>
      <c r="H1417">
        <v>43</v>
      </c>
      <c r="I1417" t="s">
        <v>56</v>
      </c>
      <c r="J1417">
        <v>1</v>
      </c>
      <c r="K1417" s="4">
        <v>30000</v>
      </c>
      <c r="L1417" s="4">
        <v>30000</v>
      </c>
    </row>
    <row r="1418" spans="2:12" ht="12.75">
      <c r="B1418" t="str">
        <f t="shared" si="70"/>
        <v>5841</v>
      </c>
      <c r="C1418" t="s">
        <v>423</v>
      </c>
      <c r="D1418">
        <v>402007</v>
      </c>
      <c r="E1418" t="s">
        <v>41</v>
      </c>
      <c r="F1418">
        <v>430003</v>
      </c>
      <c r="G1418" t="s">
        <v>223</v>
      </c>
      <c r="H1418">
        <v>43</v>
      </c>
      <c r="I1418" t="s">
        <v>56</v>
      </c>
      <c r="J1418">
        <v>1</v>
      </c>
      <c r="K1418" s="4">
        <v>20000</v>
      </c>
      <c r="L1418" s="4">
        <v>20000</v>
      </c>
    </row>
    <row r="1419" spans="2:12" ht="12.75">
      <c r="B1419" t="str">
        <f t="shared" si="70"/>
        <v>5841</v>
      </c>
      <c r="C1419" t="s">
        <v>423</v>
      </c>
      <c r="D1419">
        <v>420703</v>
      </c>
      <c r="E1419" t="s">
        <v>51</v>
      </c>
      <c r="F1419">
        <v>410006</v>
      </c>
      <c r="G1419" t="s">
        <v>148</v>
      </c>
      <c r="H1419">
        <v>41</v>
      </c>
      <c r="I1419" t="s">
        <v>14</v>
      </c>
      <c r="J1419">
        <v>1</v>
      </c>
      <c r="K1419" s="4">
        <v>30000</v>
      </c>
      <c r="L1419" s="4">
        <v>30000</v>
      </c>
    </row>
    <row r="1420" spans="2:12" ht="12.75">
      <c r="B1420" t="str">
        <f t="shared" si="70"/>
        <v>5841</v>
      </c>
      <c r="C1420" t="s">
        <v>423</v>
      </c>
      <c r="D1420">
        <v>420806</v>
      </c>
      <c r="E1420" t="s">
        <v>122</v>
      </c>
      <c r="F1420">
        <v>430001</v>
      </c>
      <c r="G1420" t="s">
        <v>224</v>
      </c>
      <c r="H1420">
        <v>43</v>
      </c>
      <c r="I1420" t="s">
        <v>56</v>
      </c>
      <c r="J1420">
        <v>1</v>
      </c>
      <c r="K1420" s="4">
        <v>150000</v>
      </c>
      <c r="L1420" s="4">
        <v>150000</v>
      </c>
    </row>
    <row r="1421" spans="2:12" ht="12.75">
      <c r="B1421" t="str">
        <f t="shared" si="70"/>
        <v>5841</v>
      </c>
      <c r="C1421" t="s">
        <v>423</v>
      </c>
      <c r="D1421">
        <v>420806</v>
      </c>
      <c r="E1421" t="s">
        <v>122</v>
      </c>
      <c r="F1421">
        <v>430002</v>
      </c>
      <c r="G1421" t="s">
        <v>424</v>
      </c>
      <c r="H1421">
        <v>43</v>
      </c>
      <c r="I1421" t="s">
        <v>56</v>
      </c>
      <c r="J1421">
        <v>1</v>
      </c>
      <c r="K1421" s="4">
        <v>30000</v>
      </c>
      <c r="L1421" s="4">
        <v>30000</v>
      </c>
    </row>
    <row r="1422" spans="2:12" ht="12.75">
      <c r="B1422" t="str">
        <f t="shared" si="70"/>
        <v>5841</v>
      </c>
      <c r="C1422" t="s">
        <v>423</v>
      </c>
      <c r="D1422">
        <v>420806</v>
      </c>
      <c r="E1422" t="s">
        <v>122</v>
      </c>
      <c r="F1422">
        <v>430003</v>
      </c>
      <c r="G1422" t="s">
        <v>223</v>
      </c>
      <c r="H1422">
        <v>43</v>
      </c>
      <c r="I1422" t="s">
        <v>56</v>
      </c>
      <c r="J1422">
        <v>1</v>
      </c>
      <c r="K1422" s="4">
        <v>20000</v>
      </c>
      <c r="L1422" s="4">
        <v>20000</v>
      </c>
    </row>
    <row r="1423" spans="2:12" ht="12.75">
      <c r="B1423" t="str">
        <f>"9151"</f>
        <v>9151</v>
      </c>
      <c r="C1423" t="s">
        <v>425</v>
      </c>
      <c r="D1423">
        <v>420202</v>
      </c>
      <c r="E1423" t="s">
        <v>19</v>
      </c>
      <c r="F1423">
        <v>20001</v>
      </c>
      <c r="G1423" t="s">
        <v>29</v>
      </c>
      <c r="H1423">
        <v>2</v>
      </c>
      <c r="I1423" t="s">
        <v>30</v>
      </c>
      <c r="J1423">
        <v>2</v>
      </c>
      <c r="K1423" s="4">
        <v>1500</v>
      </c>
      <c r="L1423" s="4">
        <v>3000</v>
      </c>
    </row>
    <row r="1424" spans="2:12" ht="12.75">
      <c r="B1424" t="str">
        <f>"9151"</f>
        <v>9151</v>
      </c>
      <c r="C1424" t="s">
        <v>425</v>
      </c>
      <c r="D1424">
        <v>420238</v>
      </c>
      <c r="E1424" t="s">
        <v>34</v>
      </c>
      <c r="F1424">
        <v>30002</v>
      </c>
      <c r="G1424" t="s">
        <v>426</v>
      </c>
      <c r="H1424">
        <v>3</v>
      </c>
      <c r="I1424" t="s">
        <v>78</v>
      </c>
      <c r="J1424">
        <v>1</v>
      </c>
      <c r="K1424" s="4">
        <v>2000</v>
      </c>
      <c r="L1424" s="4">
        <v>2000</v>
      </c>
    </row>
    <row r="1425" spans="1:2" ht="12.75">
      <c r="A1425" t="s">
        <v>47</v>
      </c>
      <c r="B1425">
        <f>SUM(L1392:L1424)</f>
        <v>643016</v>
      </c>
    </row>
    <row r="1427" ht="12.75">
      <c r="A1427" t="str">
        <f>"2713 - Zdravstveni inšpektorat RS, verzija: 1"</f>
        <v>2713 - Zdravstveni inšpektorat RS, verzija: 1</v>
      </c>
    </row>
    <row r="1428" spans="2:13" ht="12.75">
      <c r="B1428" t="s">
        <v>3</v>
      </c>
      <c r="D1428" t="s">
        <v>4</v>
      </c>
      <c r="F1428" t="s">
        <v>5</v>
      </c>
      <c r="H1428" t="s">
        <v>6</v>
      </c>
      <c r="J1428" t="s">
        <v>7</v>
      </c>
      <c r="K1428" s="4" t="s">
        <v>8</v>
      </c>
      <c r="L1428" s="4" t="s">
        <v>9</v>
      </c>
      <c r="M1428" t="s">
        <v>10</v>
      </c>
    </row>
    <row r="1429" spans="2:12" ht="12.75">
      <c r="B1429" t="s">
        <v>427</v>
      </c>
      <c r="D1429">
        <v>402941</v>
      </c>
      <c r="E1429" t="s">
        <v>98</v>
      </c>
      <c r="F1429">
        <v>440001</v>
      </c>
      <c r="G1429" t="s">
        <v>192</v>
      </c>
      <c r="H1429">
        <v>44</v>
      </c>
      <c r="I1429" t="s">
        <v>99</v>
      </c>
      <c r="J1429">
        <v>4</v>
      </c>
      <c r="K1429" s="4">
        <v>625</v>
      </c>
      <c r="L1429" s="4">
        <v>2500</v>
      </c>
    </row>
    <row r="1430" spans="2:12" ht="12.75">
      <c r="B1430" t="str">
        <f aca="true" t="shared" si="71" ref="B1430:B1443">"2915"</f>
        <v>2915</v>
      </c>
      <c r="C1430" t="s">
        <v>27</v>
      </c>
      <c r="D1430">
        <v>420202</v>
      </c>
      <c r="E1430" t="s">
        <v>19</v>
      </c>
      <c r="F1430">
        <v>10002</v>
      </c>
      <c r="G1430" t="s">
        <v>20</v>
      </c>
      <c r="H1430">
        <v>1</v>
      </c>
      <c r="I1430" t="s">
        <v>21</v>
      </c>
      <c r="J1430">
        <v>10</v>
      </c>
      <c r="K1430" s="4">
        <v>630</v>
      </c>
      <c r="L1430" s="4">
        <v>6300</v>
      </c>
    </row>
    <row r="1431" spans="2:12" ht="12.75">
      <c r="B1431" t="str">
        <f t="shared" si="71"/>
        <v>2915</v>
      </c>
      <c r="C1431" t="s">
        <v>27</v>
      </c>
      <c r="D1431">
        <v>420202</v>
      </c>
      <c r="E1431" t="s">
        <v>19</v>
      </c>
      <c r="F1431">
        <v>20001</v>
      </c>
      <c r="G1431" t="s">
        <v>29</v>
      </c>
      <c r="H1431">
        <v>2</v>
      </c>
      <c r="I1431" t="s">
        <v>30</v>
      </c>
      <c r="J1431">
        <v>6</v>
      </c>
      <c r="K1431" s="4">
        <v>960</v>
      </c>
      <c r="L1431" s="4">
        <v>5760</v>
      </c>
    </row>
    <row r="1432" spans="2:13" ht="12.75">
      <c r="B1432" t="str">
        <f t="shared" si="71"/>
        <v>2915</v>
      </c>
      <c r="C1432" t="s">
        <v>27</v>
      </c>
      <c r="D1432">
        <v>420202</v>
      </c>
      <c r="E1432" t="s">
        <v>19</v>
      </c>
      <c r="F1432">
        <v>30005</v>
      </c>
      <c r="G1432" t="s">
        <v>25</v>
      </c>
      <c r="H1432">
        <v>3</v>
      </c>
      <c r="I1432" t="s">
        <v>78</v>
      </c>
      <c r="J1432">
        <v>10</v>
      </c>
      <c r="K1432" s="4">
        <v>100</v>
      </c>
      <c r="L1432" s="4">
        <v>1000</v>
      </c>
      <c r="M1432" t="s">
        <v>428</v>
      </c>
    </row>
    <row r="1433" spans="2:12" ht="12.75">
      <c r="B1433" t="str">
        <f t="shared" si="71"/>
        <v>2915</v>
      </c>
      <c r="C1433" t="s">
        <v>27</v>
      </c>
      <c r="D1433">
        <v>420202</v>
      </c>
      <c r="E1433" t="s">
        <v>19</v>
      </c>
      <c r="F1433">
        <v>40001</v>
      </c>
      <c r="G1433" t="s">
        <v>59</v>
      </c>
      <c r="H1433">
        <v>4</v>
      </c>
      <c r="I1433" t="s">
        <v>23</v>
      </c>
      <c r="J1433">
        <v>20</v>
      </c>
      <c r="K1433" s="4">
        <v>300</v>
      </c>
      <c r="L1433" s="4">
        <v>6000</v>
      </c>
    </row>
    <row r="1434" spans="2:12" ht="12.75">
      <c r="B1434" t="str">
        <f t="shared" si="71"/>
        <v>2915</v>
      </c>
      <c r="C1434" t="s">
        <v>27</v>
      </c>
      <c r="D1434">
        <v>420202</v>
      </c>
      <c r="E1434" t="s">
        <v>19</v>
      </c>
      <c r="F1434">
        <v>50002</v>
      </c>
      <c r="G1434" t="s">
        <v>93</v>
      </c>
      <c r="H1434">
        <v>5</v>
      </c>
      <c r="I1434" t="s">
        <v>89</v>
      </c>
      <c r="J1434">
        <v>3</v>
      </c>
      <c r="K1434" s="4">
        <v>840</v>
      </c>
      <c r="L1434" s="4">
        <v>2520</v>
      </c>
    </row>
    <row r="1435" spans="2:12" ht="12.75">
      <c r="B1435" t="str">
        <f t="shared" si="71"/>
        <v>2915</v>
      </c>
      <c r="C1435" t="s">
        <v>27</v>
      </c>
      <c r="D1435">
        <v>420202</v>
      </c>
      <c r="E1435" t="s">
        <v>19</v>
      </c>
      <c r="F1435">
        <v>60002</v>
      </c>
      <c r="G1435" t="s">
        <v>31</v>
      </c>
      <c r="H1435">
        <v>6</v>
      </c>
      <c r="I1435" t="s">
        <v>32</v>
      </c>
      <c r="J1435">
        <v>6</v>
      </c>
      <c r="K1435" s="4">
        <v>300</v>
      </c>
      <c r="L1435" s="4">
        <v>1800</v>
      </c>
    </row>
    <row r="1436" spans="2:12" ht="12.75">
      <c r="B1436" t="str">
        <f t="shared" si="71"/>
        <v>2915</v>
      </c>
      <c r="C1436" t="s">
        <v>27</v>
      </c>
      <c r="D1436">
        <v>420202</v>
      </c>
      <c r="E1436" t="s">
        <v>19</v>
      </c>
      <c r="F1436">
        <v>70003</v>
      </c>
      <c r="G1436" t="s">
        <v>73</v>
      </c>
      <c r="H1436">
        <v>7</v>
      </c>
      <c r="I1436" t="s">
        <v>74</v>
      </c>
      <c r="J1436">
        <v>1</v>
      </c>
      <c r="K1436" s="4">
        <v>1200</v>
      </c>
      <c r="L1436" s="4">
        <v>1200</v>
      </c>
    </row>
    <row r="1437" spans="2:12" ht="12.75">
      <c r="B1437" t="str">
        <f t="shared" si="71"/>
        <v>2915</v>
      </c>
      <c r="C1437" t="s">
        <v>27</v>
      </c>
      <c r="D1437">
        <v>420222</v>
      </c>
      <c r="E1437" t="s">
        <v>60</v>
      </c>
      <c r="F1437">
        <v>230001</v>
      </c>
      <c r="G1437" t="s">
        <v>236</v>
      </c>
      <c r="H1437">
        <v>23</v>
      </c>
      <c r="I1437" t="s">
        <v>143</v>
      </c>
      <c r="J1437">
        <v>1</v>
      </c>
      <c r="K1437" s="4">
        <v>5040</v>
      </c>
      <c r="L1437" s="4">
        <v>5040</v>
      </c>
    </row>
    <row r="1438" spans="2:12" ht="12.75">
      <c r="B1438" t="str">
        <f t="shared" si="71"/>
        <v>2915</v>
      </c>
      <c r="C1438" t="s">
        <v>27</v>
      </c>
      <c r="D1438">
        <v>420248</v>
      </c>
      <c r="E1438" t="s">
        <v>36</v>
      </c>
      <c r="F1438">
        <v>120001</v>
      </c>
      <c r="G1438" t="s">
        <v>114</v>
      </c>
      <c r="H1438">
        <v>12</v>
      </c>
      <c r="I1438" t="s">
        <v>38</v>
      </c>
      <c r="J1438">
        <v>10</v>
      </c>
      <c r="K1438" s="4">
        <v>90</v>
      </c>
      <c r="L1438" s="4">
        <v>900</v>
      </c>
    </row>
    <row r="1439" spans="2:12" ht="12.75">
      <c r="B1439" t="str">
        <f t="shared" si="71"/>
        <v>2915</v>
      </c>
      <c r="C1439" t="s">
        <v>27</v>
      </c>
      <c r="D1439">
        <v>420703</v>
      </c>
      <c r="E1439" t="s">
        <v>51</v>
      </c>
      <c r="F1439">
        <v>310002</v>
      </c>
      <c r="G1439" t="s">
        <v>86</v>
      </c>
      <c r="H1439">
        <v>31</v>
      </c>
      <c r="I1439" t="s">
        <v>26</v>
      </c>
      <c r="J1439">
        <v>1</v>
      </c>
      <c r="K1439" s="4">
        <v>7200</v>
      </c>
      <c r="L1439" s="4">
        <v>7200</v>
      </c>
    </row>
    <row r="1440" spans="2:12" ht="12.75">
      <c r="B1440" t="str">
        <f t="shared" si="71"/>
        <v>2915</v>
      </c>
      <c r="C1440" t="s">
        <v>27</v>
      </c>
      <c r="D1440">
        <v>420703</v>
      </c>
      <c r="E1440" t="s">
        <v>51</v>
      </c>
      <c r="F1440">
        <v>310003</v>
      </c>
      <c r="G1440" t="s">
        <v>125</v>
      </c>
      <c r="H1440">
        <v>31</v>
      </c>
      <c r="I1440" t="s">
        <v>26</v>
      </c>
      <c r="J1440">
        <v>120</v>
      </c>
      <c r="K1440" s="4">
        <v>42</v>
      </c>
      <c r="L1440" s="4">
        <v>5040</v>
      </c>
    </row>
    <row r="1441" spans="2:12" ht="12.75">
      <c r="B1441" t="str">
        <f t="shared" si="71"/>
        <v>2915</v>
      </c>
      <c r="C1441" t="s">
        <v>27</v>
      </c>
      <c r="D1441">
        <v>420703</v>
      </c>
      <c r="E1441" t="s">
        <v>51</v>
      </c>
      <c r="F1441">
        <v>310008</v>
      </c>
      <c r="G1441" t="s">
        <v>148</v>
      </c>
      <c r="H1441">
        <v>31</v>
      </c>
      <c r="I1441" t="s">
        <v>26</v>
      </c>
      <c r="J1441">
        <v>1</v>
      </c>
      <c r="K1441" s="4">
        <v>5040</v>
      </c>
      <c r="L1441" s="4">
        <v>5040</v>
      </c>
    </row>
    <row r="1442" spans="2:12" ht="12.75">
      <c r="B1442" t="str">
        <f t="shared" si="71"/>
        <v>2915</v>
      </c>
      <c r="C1442" t="s">
        <v>27</v>
      </c>
      <c r="D1442">
        <v>420704</v>
      </c>
      <c r="E1442" t="s">
        <v>24</v>
      </c>
      <c r="F1442">
        <v>310002</v>
      </c>
      <c r="G1442" t="s">
        <v>86</v>
      </c>
      <c r="H1442">
        <v>31</v>
      </c>
      <c r="I1442" t="s">
        <v>26</v>
      </c>
      <c r="J1442">
        <v>1</v>
      </c>
      <c r="K1442" s="4">
        <v>7200</v>
      </c>
      <c r="L1442" s="4">
        <v>7200</v>
      </c>
    </row>
    <row r="1443" spans="2:12" ht="12.75">
      <c r="B1443" t="str">
        <f t="shared" si="71"/>
        <v>2915</v>
      </c>
      <c r="C1443" t="s">
        <v>27</v>
      </c>
      <c r="D1443">
        <v>420806</v>
      </c>
      <c r="E1443" t="s">
        <v>122</v>
      </c>
      <c r="F1443">
        <v>360001</v>
      </c>
      <c r="G1443" t="s">
        <v>263</v>
      </c>
      <c r="H1443">
        <v>36</v>
      </c>
      <c r="I1443" t="s">
        <v>124</v>
      </c>
      <c r="J1443">
        <v>1</v>
      </c>
      <c r="K1443" s="4">
        <v>10200</v>
      </c>
      <c r="L1443" s="4">
        <v>10200</v>
      </c>
    </row>
    <row r="1444" spans="2:12" ht="12.75">
      <c r="B1444" t="str">
        <f>"4530"</f>
        <v>4530</v>
      </c>
      <c r="C1444" t="s">
        <v>40</v>
      </c>
      <c r="D1444">
        <v>402513</v>
      </c>
      <c r="E1444" t="s">
        <v>85</v>
      </c>
      <c r="F1444">
        <v>350005</v>
      </c>
      <c r="G1444" t="s">
        <v>96</v>
      </c>
      <c r="H1444">
        <v>35</v>
      </c>
      <c r="I1444" t="s">
        <v>17</v>
      </c>
      <c r="J1444">
        <v>1</v>
      </c>
      <c r="K1444" s="4">
        <v>17500</v>
      </c>
      <c r="L1444" s="4">
        <v>17500</v>
      </c>
    </row>
    <row r="1445" spans="2:12" ht="12.75">
      <c r="B1445" t="str">
        <f>"4530"</f>
        <v>4530</v>
      </c>
      <c r="C1445" t="s">
        <v>40</v>
      </c>
      <c r="D1445">
        <v>402515</v>
      </c>
      <c r="E1445" t="s">
        <v>15</v>
      </c>
      <c r="F1445">
        <v>350001</v>
      </c>
      <c r="G1445" t="s">
        <v>16</v>
      </c>
      <c r="H1445">
        <v>35</v>
      </c>
      <c r="I1445" t="s">
        <v>17</v>
      </c>
      <c r="J1445">
        <v>80</v>
      </c>
      <c r="K1445" s="4">
        <v>62.5</v>
      </c>
      <c r="L1445" s="4">
        <v>5000</v>
      </c>
    </row>
    <row r="1446" spans="2:12" ht="12.75">
      <c r="B1446" t="str">
        <f>"4530"</f>
        <v>4530</v>
      </c>
      <c r="C1446" t="s">
        <v>40</v>
      </c>
      <c r="D1446">
        <v>402607</v>
      </c>
      <c r="E1446" t="s">
        <v>91</v>
      </c>
      <c r="F1446">
        <v>380001</v>
      </c>
      <c r="G1446" t="s">
        <v>25</v>
      </c>
      <c r="H1446">
        <v>38</v>
      </c>
      <c r="I1446" t="s">
        <v>264</v>
      </c>
      <c r="J1446">
        <v>2</v>
      </c>
      <c r="K1446" s="4">
        <v>850</v>
      </c>
      <c r="L1446" s="4">
        <v>1700</v>
      </c>
    </row>
    <row r="1447" spans="1:2" ht="12.75">
      <c r="A1447" t="s">
        <v>47</v>
      </c>
      <c r="B1447">
        <f>SUM(L1429:L1446)</f>
        <v>91900</v>
      </c>
    </row>
    <row r="1449" ht="12.75">
      <c r="A1449" t="str">
        <f>"2715 - Urad RS za kemikalije, verzija: 1"</f>
        <v>2715 - Urad RS za kemikalije, verzija: 1</v>
      </c>
    </row>
    <row r="1450" spans="2:13" ht="12.75">
      <c r="B1450" t="s">
        <v>3</v>
      </c>
      <c r="D1450" t="s">
        <v>4</v>
      </c>
      <c r="F1450" t="s">
        <v>5</v>
      </c>
      <c r="H1450" t="s">
        <v>6</v>
      </c>
      <c r="J1450" t="s">
        <v>7</v>
      </c>
      <c r="K1450" s="4" t="s">
        <v>8</v>
      </c>
      <c r="L1450" s="4" t="s">
        <v>9</v>
      </c>
      <c r="M1450" t="s">
        <v>10</v>
      </c>
    </row>
    <row r="1451" spans="2:12" ht="12.75">
      <c r="B1451" t="str">
        <f>"6176"</f>
        <v>6176</v>
      </c>
      <c r="C1451" t="s">
        <v>40</v>
      </c>
      <c r="D1451">
        <v>402510</v>
      </c>
      <c r="E1451" t="s">
        <v>12</v>
      </c>
      <c r="F1451">
        <v>310004</v>
      </c>
      <c r="G1451" t="s">
        <v>121</v>
      </c>
      <c r="H1451">
        <v>31</v>
      </c>
      <c r="I1451" t="s">
        <v>26</v>
      </c>
      <c r="J1451">
        <v>1</v>
      </c>
      <c r="K1451" s="4">
        <v>6000</v>
      </c>
      <c r="L1451" s="4">
        <v>6000</v>
      </c>
    </row>
    <row r="1452" spans="2:12" ht="12.75">
      <c r="B1452" t="str">
        <f aca="true" t="shared" si="72" ref="B1452:B1460">"6279"</f>
        <v>6279</v>
      </c>
      <c r="C1452" t="s">
        <v>27</v>
      </c>
      <c r="D1452">
        <v>420202</v>
      </c>
      <c r="E1452" t="s">
        <v>19</v>
      </c>
      <c r="F1452">
        <v>10002</v>
      </c>
      <c r="G1452" t="s">
        <v>20</v>
      </c>
      <c r="H1452">
        <v>1</v>
      </c>
      <c r="I1452" t="s">
        <v>21</v>
      </c>
      <c r="J1452">
        <v>6</v>
      </c>
      <c r="K1452" s="4">
        <v>1100</v>
      </c>
      <c r="L1452" s="4">
        <v>6600</v>
      </c>
    </row>
    <row r="1453" spans="2:13" ht="12.75">
      <c r="B1453" t="str">
        <f t="shared" si="72"/>
        <v>6279</v>
      </c>
      <c r="C1453" t="s">
        <v>27</v>
      </c>
      <c r="D1453">
        <v>420202</v>
      </c>
      <c r="E1453" t="s">
        <v>19</v>
      </c>
      <c r="F1453">
        <v>60002</v>
      </c>
      <c r="G1453" t="s">
        <v>31</v>
      </c>
      <c r="H1453">
        <v>6</v>
      </c>
      <c r="I1453" t="s">
        <v>32</v>
      </c>
      <c r="J1453">
        <v>2</v>
      </c>
      <c r="K1453" s="4">
        <v>1050</v>
      </c>
      <c r="L1453" s="4">
        <v>2100</v>
      </c>
      <c r="M1453" t="s">
        <v>429</v>
      </c>
    </row>
    <row r="1454" spans="2:12" ht="12.75">
      <c r="B1454" t="str">
        <f t="shared" si="72"/>
        <v>6279</v>
      </c>
      <c r="C1454" t="s">
        <v>27</v>
      </c>
      <c r="D1454">
        <v>420202</v>
      </c>
      <c r="E1454" t="s">
        <v>19</v>
      </c>
      <c r="F1454">
        <v>70003</v>
      </c>
      <c r="G1454" t="s">
        <v>73</v>
      </c>
      <c r="H1454">
        <v>7</v>
      </c>
      <c r="I1454" t="s">
        <v>74</v>
      </c>
      <c r="J1454">
        <v>1</v>
      </c>
      <c r="K1454" s="4">
        <v>1500</v>
      </c>
      <c r="L1454" s="4">
        <v>1500</v>
      </c>
    </row>
    <row r="1455" spans="2:12" ht="12.75">
      <c r="B1455" t="str">
        <f t="shared" si="72"/>
        <v>6279</v>
      </c>
      <c r="C1455" t="s">
        <v>27</v>
      </c>
      <c r="D1455">
        <v>420202</v>
      </c>
      <c r="E1455" t="s">
        <v>19</v>
      </c>
      <c r="F1455">
        <v>310005</v>
      </c>
      <c r="G1455" t="s">
        <v>46</v>
      </c>
      <c r="H1455">
        <v>31</v>
      </c>
      <c r="I1455" t="s">
        <v>26</v>
      </c>
      <c r="J1455">
        <v>5</v>
      </c>
      <c r="K1455" s="4">
        <v>480</v>
      </c>
      <c r="L1455" s="4">
        <v>2400</v>
      </c>
    </row>
    <row r="1456" spans="2:12" ht="12.75">
      <c r="B1456" t="str">
        <f t="shared" si="72"/>
        <v>6279</v>
      </c>
      <c r="C1456" t="s">
        <v>27</v>
      </c>
      <c r="D1456">
        <v>420202</v>
      </c>
      <c r="E1456" t="s">
        <v>19</v>
      </c>
      <c r="F1456">
        <v>310008</v>
      </c>
      <c r="G1456" t="s">
        <v>148</v>
      </c>
      <c r="H1456">
        <v>31</v>
      </c>
      <c r="I1456" t="s">
        <v>26</v>
      </c>
      <c r="J1456">
        <v>1</v>
      </c>
      <c r="K1456" s="4">
        <v>1500</v>
      </c>
      <c r="L1456" s="4">
        <v>1500</v>
      </c>
    </row>
    <row r="1457" spans="2:12" ht="12.75">
      <c r="B1457" t="str">
        <f t="shared" si="72"/>
        <v>6279</v>
      </c>
      <c r="C1457" t="s">
        <v>27</v>
      </c>
      <c r="D1457">
        <v>420202</v>
      </c>
      <c r="E1457" t="s">
        <v>19</v>
      </c>
      <c r="F1457">
        <v>410002</v>
      </c>
      <c r="G1457" t="s">
        <v>86</v>
      </c>
      <c r="H1457">
        <v>41</v>
      </c>
      <c r="I1457" t="s">
        <v>14</v>
      </c>
      <c r="J1457">
        <v>1</v>
      </c>
      <c r="K1457" s="4">
        <v>31000</v>
      </c>
      <c r="L1457" s="4">
        <v>31000</v>
      </c>
    </row>
    <row r="1458" spans="2:12" ht="12.75">
      <c r="B1458" t="str">
        <f t="shared" si="72"/>
        <v>6279</v>
      </c>
      <c r="C1458" t="s">
        <v>27</v>
      </c>
      <c r="D1458">
        <v>420222</v>
      </c>
      <c r="E1458" t="s">
        <v>60</v>
      </c>
      <c r="F1458">
        <v>100005</v>
      </c>
      <c r="G1458" t="s">
        <v>430</v>
      </c>
      <c r="H1458">
        <v>10</v>
      </c>
      <c r="I1458" t="s">
        <v>35</v>
      </c>
      <c r="J1458">
        <v>1</v>
      </c>
      <c r="K1458" s="4">
        <v>2500</v>
      </c>
      <c r="L1458" s="4">
        <v>2500</v>
      </c>
    </row>
    <row r="1459" spans="2:13" ht="12.75">
      <c r="B1459" t="str">
        <f t="shared" si="72"/>
        <v>6279</v>
      </c>
      <c r="C1459" t="s">
        <v>27</v>
      </c>
      <c r="D1459">
        <v>420238</v>
      </c>
      <c r="E1459" t="s">
        <v>34</v>
      </c>
      <c r="F1459">
        <v>20003</v>
      </c>
      <c r="G1459" t="s">
        <v>25</v>
      </c>
      <c r="H1459">
        <v>2</v>
      </c>
      <c r="I1459" t="s">
        <v>30</v>
      </c>
      <c r="J1459">
        <v>2</v>
      </c>
      <c r="K1459" s="4">
        <v>45</v>
      </c>
      <c r="L1459" s="4">
        <v>90</v>
      </c>
      <c r="M1459" t="s">
        <v>431</v>
      </c>
    </row>
    <row r="1460" spans="2:13" ht="12.75">
      <c r="B1460" t="str">
        <f t="shared" si="72"/>
        <v>6279</v>
      </c>
      <c r="C1460" t="s">
        <v>27</v>
      </c>
      <c r="D1460">
        <v>420238</v>
      </c>
      <c r="E1460" t="s">
        <v>34</v>
      </c>
      <c r="F1460">
        <v>100009</v>
      </c>
      <c r="G1460" t="s">
        <v>299</v>
      </c>
      <c r="H1460">
        <v>10</v>
      </c>
      <c r="I1460" t="s">
        <v>35</v>
      </c>
      <c r="J1460">
        <v>1</v>
      </c>
      <c r="K1460" s="4">
        <v>12000</v>
      </c>
      <c r="L1460" s="4">
        <v>12000</v>
      </c>
      <c r="M1460" t="s">
        <v>432</v>
      </c>
    </row>
    <row r="1461" spans="2:12" ht="12.75">
      <c r="B1461" t="str">
        <f>"9152"</f>
        <v>9152</v>
      </c>
      <c r="C1461" t="s">
        <v>433</v>
      </c>
      <c r="D1461">
        <v>420202</v>
      </c>
      <c r="E1461" t="s">
        <v>19</v>
      </c>
      <c r="F1461">
        <v>20001</v>
      </c>
      <c r="G1461" t="s">
        <v>29</v>
      </c>
      <c r="H1461">
        <v>2</v>
      </c>
      <c r="I1461" t="s">
        <v>30</v>
      </c>
      <c r="J1461">
        <v>4</v>
      </c>
      <c r="K1461" s="4">
        <v>2000</v>
      </c>
      <c r="L1461" s="4">
        <v>8000</v>
      </c>
    </row>
    <row r="1462" spans="2:13" ht="12.75">
      <c r="B1462" t="str">
        <f>"9152"</f>
        <v>9152</v>
      </c>
      <c r="C1462" t="s">
        <v>433</v>
      </c>
      <c r="D1462">
        <v>420238</v>
      </c>
      <c r="E1462" t="s">
        <v>34</v>
      </c>
      <c r="F1462">
        <v>100009</v>
      </c>
      <c r="G1462" t="s">
        <v>299</v>
      </c>
      <c r="H1462">
        <v>10</v>
      </c>
      <c r="I1462" t="s">
        <v>35</v>
      </c>
      <c r="J1462">
        <v>1</v>
      </c>
      <c r="K1462" s="4">
        <v>2000</v>
      </c>
      <c r="L1462" s="4">
        <v>2000</v>
      </c>
      <c r="M1462" t="s">
        <v>434</v>
      </c>
    </row>
    <row r="1463" spans="2:12" ht="12.75">
      <c r="B1463" t="str">
        <f>"9163"</f>
        <v>9163</v>
      </c>
      <c r="C1463" t="s">
        <v>435</v>
      </c>
      <c r="D1463">
        <v>420202</v>
      </c>
      <c r="E1463" t="s">
        <v>19</v>
      </c>
      <c r="F1463">
        <v>30002</v>
      </c>
      <c r="G1463" t="s">
        <v>426</v>
      </c>
      <c r="H1463">
        <v>3</v>
      </c>
      <c r="I1463" t="s">
        <v>78</v>
      </c>
      <c r="J1463">
        <v>1</v>
      </c>
      <c r="K1463" s="4">
        <v>500</v>
      </c>
      <c r="L1463" s="4">
        <v>500</v>
      </c>
    </row>
    <row r="1464" spans="2:12" ht="12.75">
      <c r="B1464" t="str">
        <f>"9171"</f>
        <v>9171</v>
      </c>
      <c r="C1464" t="s">
        <v>436</v>
      </c>
      <c r="D1464">
        <v>420202</v>
      </c>
      <c r="E1464" t="s">
        <v>19</v>
      </c>
      <c r="F1464">
        <v>10002</v>
      </c>
      <c r="G1464" t="s">
        <v>20</v>
      </c>
      <c r="H1464">
        <v>1</v>
      </c>
      <c r="I1464" t="s">
        <v>21</v>
      </c>
      <c r="J1464">
        <v>1</v>
      </c>
      <c r="K1464" s="4">
        <v>1000</v>
      </c>
      <c r="L1464" s="4">
        <v>1000</v>
      </c>
    </row>
    <row r="1465" spans="2:13" ht="12.75">
      <c r="B1465" t="str">
        <f>"9171"</f>
        <v>9171</v>
      </c>
      <c r="C1465" t="s">
        <v>436</v>
      </c>
      <c r="D1465">
        <v>420238</v>
      </c>
      <c r="E1465" t="s">
        <v>34</v>
      </c>
      <c r="F1465">
        <v>30005</v>
      </c>
      <c r="G1465" t="s">
        <v>25</v>
      </c>
      <c r="H1465">
        <v>3</v>
      </c>
      <c r="I1465" t="s">
        <v>78</v>
      </c>
      <c r="J1465">
        <v>1</v>
      </c>
      <c r="K1465" s="4">
        <v>200</v>
      </c>
      <c r="L1465" s="4">
        <v>200</v>
      </c>
      <c r="M1465" t="s">
        <v>431</v>
      </c>
    </row>
    <row r="1466" spans="1:2" ht="12.75">
      <c r="A1466" t="s">
        <v>47</v>
      </c>
      <c r="B1466">
        <f>SUM(L1451:L1465)</f>
        <v>77390</v>
      </c>
    </row>
    <row r="1468" ht="12.75">
      <c r="A1468" t="str">
        <f>"2717 - Uprava RS za varstvo pred sevanji, verzija: 1"</f>
        <v>2717 - Uprava RS za varstvo pred sevanji, verzija: 1</v>
      </c>
    </row>
    <row r="1469" spans="2:13" ht="12.75">
      <c r="B1469" t="s">
        <v>3</v>
      </c>
      <c r="D1469" t="s">
        <v>4</v>
      </c>
      <c r="F1469" t="s">
        <v>5</v>
      </c>
      <c r="H1469" t="s">
        <v>6</v>
      </c>
      <c r="J1469" t="s">
        <v>7</v>
      </c>
      <c r="K1469" s="4" t="s">
        <v>8</v>
      </c>
      <c r="L1469" s="4" t="s">
        <v>9</v>
      </c>
      <c r="M1469" t="s">
        <v>10</v>
      </c>
    </row>
    <row r="1470" spans="2:12" ht="12.75">
      <c r="B1470" t="str">
        <f>"2319"</f>
        <v>2319</v>
      </c>
      <c r="C1470" t="s">
        <v>27</v>
      </c>
      <c r="D1470">
        <v>420202</v>
      </c>
      <c r="E1470" t="s">
        <v>19</v>
      </c>
      <c r="F1470">
        <v>10002</v>
      </c>
      <c r="G1470" t="s">
        <v>20</v>
      </c>
      <c r="H1470">
        <v>1</v>
      </c>
      <c r="I1470" t="s">
        <v>21</v>
      </c>
      <c r="J1470">
        <v>2</v>
      </c>
      <c r="K1470" s="4">
        <v>760</v>
      </c>
      <c r="L1470" s="4">
        <v>1520</v>
      </c>
    </row>
    <row r="1471" spans="2:12" ht="12.75">
      <c r="B1471" t="str">
        <f>"2319"</f>
        <v>2319</v>
      </c>
      <c r="C1471" t="s">
        <v>27</v>
      </c>
      <c r="D1471">
        <v>420202</v>
      </c>
      <c r="E1471" t="s">
        <v>19</v>
      </c>
      <c r="F1471">
        <v>40002</v>
      </c>
      <c r="G1471" t="s">
        <v>22</v>
      </c>
      <c r="H1471">
        <v>4</v>
      </c>
      <c r="I1471" t="s">
        <v>23</v>
      </c>
      <c r="J1471">
        <v>2</v>
      </c>
      <c r="K1471" s="4">
        <v>390</v>
      </c>
      <c r="L1471" s="4">
        <v>780</v>
      </c>
    </row>
    <row r="1472" spans="2:12" ht="12.75">
      <c r="B1472" t="str">
        <f>"2319"</f>
        <v>2319</v>
      </c>
      <c r="C1472" t="s">
        <v>27</v>
      </c>
      <c r="D1472">
        <v>420202</v>
      </c>
      <c r="E1472" t="s">
        <v>19</v>
      </c>
      <c r="F1472">
        <v>70002</v>
      </c>
      <c r="G1472" t="s">
        <v>113</v>
      </c>
      <c r="H1472">
        <v>7</v>
      </c>
      <c r="I1472" t="s">
        <v>74</v>
      </c>
      <c r="J1472">
        <v>1</v>
      </c>
      <c r="K1472" s="4">
        <v>5000</v>
      </c>
      <c r="L1472" s="4">
        <v>5000</v>
      </c>
    </row>
    <row r="1473" spans="2:12" ht="12.75">
      <c r="B1473" t="str">
        <f>"2319"</f>
        <v>2319</v>
      </c>
      <c r="C1473" t="s">
        <v>27</v>
      </c>
      <c r="D1473">
        <v>420202</v>
      </c>
      <c r="E1473" t="s">
        <v>19</v>
      </c>
      <c r="F1473">
        <v>80001</v>
      </c>
      <c r="G1473" t="s">
        <v>437</v>
      </c>
      <c r="H1473">
        <v>8</v>
      </c>
      <c r="I1473" t="s">
        <v>76</v>
      </c>
      <c r="J1473">
        <v>3</v>
      </c>
      <c r="K1473" s="4">
        <v>100</v>
      </c>
      <c r="L1473" s="4">
        <v>300</v>
      </c>
    </row>
    <row r="1474" spans="1:2" ht="12.75">
      <c r="A1474" t="s">
        <v>47</v>
      </c>
      <c r="B1474">
        <f>SUM(L1470:L1473)</f>
        <v>7600</v>
      </c>
    </row>
    <row r="1476" ht="12.75">
      <c r="A1476" t="str">
        <f>"3111 - Ministrstvo za javno upravo, verzija: 3"</f>
        <v>3111 - Ministrstvo za javno upravo, verzija: 3</v>
      </c>
    </row>
    <row r="1477" spans="2:13" ht="12.75">
      <c r="B1477" t="s">
        <v>3</v>
      </c>
      <c r="D1477" t="s">
        <v>4</v>
      </c>
      <c r="F1477" t="s">
        <v>5</v>
      </c>
      <c r="H1477" t="s">
        <v>6</v>
      </c>
      <c r="J1477" t="s">
        <v>7</v>
      </c>
      <c r="K1477" s="4" t="s">
        <v>8</v>
      </c>
      <c r="L1477" s="4" t="s">
        <v>9</v>
      </c>
      <c r="M1477" t="s">
        <v>10</v>
      </c>
    </row>
    <row r="1478" spans="2:12" ht="12.75">
      <c r="B1478" t="s">
        <v>438</v>
      </c>
      <c r="D1478">
        <v>402514</v>
      </c>
      <c r="E1478" t="s">
        <v>45</v>
      </c>
      <c r="F1478">
        <v>310007</v>
      </c>
      <c r="G1478" t="s">
        <v>82</v>
      </c>
      <c r="H1478">
        <v>31</v>
      </c>
      <c r="I1478" t="s">
        <v>26</v>
      </c>
      <c r="J1478">
        <v>1</v>
      </c>
      <c r="K1478" s="4">
        <v>41891</v>
      </c>
      <c r="L1478" s="4">
        <v>41891</v>
      </c>
    </row>
    <row r="1479" spans="2:13" ht="12.75">
      <c r="B1479" t="s">
        <v>438</v>
      </c>
      <c r="D1479">
        <v>420202</v>
      </c>
      <c r="E1479" t="s">
        <v>19</v>
      </c>
      <c r="F1479">
        <v>40005</v>
      </c>
      <c r="G1479" t="s">
        <v>25</v>
      </c>
      <c r="H1479">
        <v>4</v>
      </c>
      <c r="I1479" t="s">
        <v>23</v>
      </c>
      <c r="J1479">
        <v>1</v>
      </c>
      <c r="K1479" s="4">
        <v>12500</v>
      </c>
      <c r="L1479" s="4">
        <v>12500</v>
      </c>
      <c r="M1479" t="s">
        <v>439</v>
      </c>
    </row>
    <row r="1480" spans="2:13" ht="12.75">
      <c r="B1480" t="s">
        <v>438</v>
      </c>
      <c r="D1480">
        <v>420222</v>
      </c>
      <c r="E1480" t="s">
        <v>60</v>
      </c>
      <c r="F1480">
        <v>190010</v>
      </c>
      <c r="G1480" t="s">
        <v>165</v>
      </c>
      <c r="H1480">
        <v>19</v>
      </c>
      <c r="I1480" t="s">
        <v>62</v>
      </c>
      <c r="J1480">
        <v>1</v>
      </c>
      <c r="K1480" s="4">
        <v>24000</v>
      </c>
      <c r="L1480" s="4">
        <v>24000</v>
      </c>
      <c r="M1480" t="s">
        <v>440</v>
      </c>
    </row>
    <row r="1481" spans="2:13" ht="12.75">
      <c r="B1481" t="s">
        <v>438</v>
      </c>
      <c r="D1481">
        <v>420248</v>
      </c>
      <c r="E1481" t="s">
        <v>36</v>
      </c>
      <c r="F1481">
        <v>400014</v>
      </c>
      <c r="G1481" t="s">
        <v>38</v>
      </c>
      <c r="H1481">
        <v>40</v>
      </c>
      <c r="I1481" t="s">
        <v>50</v>
      </c>
      <c r="J1481">
        <v>1</v>
      </c>
      <c r="K1481" s="4">
        <v>36000</v>
      </c>
      <c r="L1481" s="4">
        <v>36000</v>
      </c>
      <c r="M1481" t="s">
        <v>441</v>
      </c>
    </row>
    <row r="1482" spans="2:13" ht="12.75">
      <c r="B1482" t="s">
        <v>438</v>
      </c>
      <c r="D1482">
        <v>420248</v>
      </c>
      <c r="E1482" t="s">
        <v>36</v>
      </c>
      <c r="F1482">
        <v>400014</v>
      </c>
      <c r="G1482" t="s">
        <v>38</v>
      </c>
      <c r="H1482">
        <v>40</v>
      </c>
      <c r="I1482" t="s">
        <v>50</v>
      </c>
      <c r="J1482">
        <v>1</v>
      </c>
      <c r="K1482" s="4">
        <v>48000</v>
      </c>
      <c r="L1482" s="4">
        <v>48000</v>
      </c>
      <c r="M1482" t="s">
        <v>442</v>
      </c>
    </row>
    <row r="1483" spans="2:13" ht="12.75">
      <c r="B1483" t="s">
        <v>438</v>
      </c>
      <c r="D1483">
        <v>420249</v>
      </c>
      <c r="E1483" t="s">
        <v>39</v>
      </c>
      <c r="F1483">
        <v>400014</v>
      </c>
      <c r="G1483" t="s">
        <v>38</v>
      </c>
      <c r="H1483">
        <v>40</v>
      </c>
      <c r="I1483" t="s">
        <v>50</v>
      </c>
      <c r="J1483">
        <v>1</v>
      </c>
      <c r="K1483" s="4">
        <v>32000</v>
      </c>
      <c r="L1483" s="4">
        <v>32000</v>
      </c>
      <c r="M1483" t="s">
        <v>443</v>
      </c>
    </row>
    <row r="1484" spans="2:13" ht="12.75">
      <c r="B1484" t="s">
        <v>438</v>
      </c>
      <c r="D1484">
        <v>420703</v>
      </c>
      <c r="E1484" t="s">
        <v>51</v>
      </c>
      <c r="F1484">
        <v>310009</v>
      </c>
      <c r="G1484" t="s">
        <v>25</v>
      </c>
      <c r="H1484">
        <v>31</v>
      </c>
      <c r="I1484" t="s">
        <v>26</v>
      </c>
      <c r="J1484">
        <v>1</v>
      </c>
      <c r="K1484" s="4">
        <v>75000</v>
      </c>
      <c r="L1484" s="4">
        <v>75000</v>
      </c>
      <c r="M1484" t="s">
        <v>444</v>
      </c>
    </row>
    <row r="1485" spans="2:12" ht="12.75">
      <c r="B1485" t="str">
        <f>"201120"</f>
        <v>201120</v>
      </c>
      <c r="D1485">
        <v>402007</v>
      </c>
      <c r="E1485" t="s">
        <v>41</v>
      </c>
      <c r="F1485">
        <v>10001</v>
      </c>
      <c r="G1485" t="s">
        <v>48</v>
      </c>
      <c r="H1485">
        <v>1</v>
      </c>
      <c r="I1485" t="s">
        <v>21</v>
      </c>
      <c r="J1485">
        <v>1</v>
      </c>
      <c r="K1485" s="4">
        <v>1000</v>
      </c>
      <c r="L1485" s="4">
        <v>1000</v>
      </c>
    </row>
    <row r="1486" spans="2:12" ht="12.75">
      <c r="B1486" t="str">
        <f aca="true" t="shared" si="73" ref="B1486:B1515">"5564"</f>
        <v>5564</v>
      </c>
      <c r="C1486" t="s">
        <v>27</v>
      </c>
      <c r="D1486">
        <v>402011</v>
      </c>
      <c r="E1486" t="s">
        <v>54</v>
      </c>
      <c r="F1486">
        <v>390001</v>
      </c>
      <c r="G1486" t="s">
        <v>306</v>
      </c>
      <c r="H1486">
        <v>39</v>
      </c>
      <c r="I1486" t="s">
        <v>141</v>
      </c>
      <c r="J1486">
        <v>1</v>
      </c>
      <c r="K1486" s="4">
        <v>465000</v>
      </c>
      <c r="L1486" s="4">
        <v>465000</v>
      </c>
    </row>
    <row r="1487" spans="2:12" ht="12.75">
      <c r="B1487" t="str">
        <f t="shared" si="73"/>
        <v>5564</v>
      </c>
      <c r="C1487" t="s">
        <v>27</v>
      </c>
      <c r="D1487">
        <v>402011</v>
      </c>
      <c r="E1487" t="s">
        <v>54</v>
      </c>
      <c r="F1487">
        <v>390001</v>
      </c>
      <c r="G1487" t="s">
        <v>306</v>
      </c>
      <c r="H1487">
        <v>39</v>
      </c>
      <c r="I1487" t="s">
        <v>141</v>
      </c>
      <c r="J1487">
        <v>1</v>
      </c>
      <c r="K1487" s="4">
        <v>8000</v>
      </c>
      <c r="L1487" s="4">
        <v>8000</v>
      </c>
    </row>
    <row r="1488" spans="2:13" ht="12.75">
      <c r="B1488" t="str">
        <f t="shared" si="73"/>
        <v>5564</v>
      </c>
      <c r="C1488" t="s">
        <v>27</v>
      </c>
      <c r="D1488">
        <v>402011</v>
      </c>
      <c r="E1488" t="s">
        <v>54</v>
      </c>
      <c r="F1488">
        <v>390003</v>
      </c>
      <c r="G1488" t="s">
        <v>154</v>
      </c>
      <c r="H1488">
        <v>39</v>
      </c>
      <c r="I1488" t="s">
        <v>141</v>
      </c>
      <c r="J1488">
        <v>1</v>
      </c>
      <c r="K1488" s="4">
        <v>16200</v>
      </c>
      <c r="L1488" s="4">
        <v>16200</v>
      </c>
      <c r="M1488" t="s">
        <v>445</v>
      </c>
    </row>
    <row r="1489" spans="2:12" ht="12.75">
      <c r="B1489" t="str">
        <f t="shared" si="73"/>
        <v>5564</v>
      </c>
      <c r="C1489" t="s">
        <v>27</v>
      </c>
      <c r="D1489">
        <v>402011</v>
      </c>
      <c r="E1489" t="s">
        <v>54</v>
      </c>
      <c r="F1489">
        <v>390003</v>
      </c>
      <c r="G1489" t="s">
        <v>154</v>
      </c>
      <c r="H1489">
        <v>39</v>
      </c>
      <c r="I1489" t="s">
        <v>141</v>
      </c>
      <c r="J1489">
        <v>1</v>
      </c>
      <c r="K1489" s="4">
        <v>490000</v>
      </c>
      <c r="L1489" s="4">
        <v>490000</v>
      </c>
    </row>
    <row r="1490" spans="2:12" ht="12.75">
      <c r="B1490" t="str">
        <f t="shared" si="73"/>
        <v>5564</v>
      </c>
      <c r="C1490" t="s">
        <v>27</v>
      </c>
      <c r="D1490">
        <v>402510</v>
      </c>
      <c r="E1490" t="s">
        <v>12</v>
      </c>
      <c r="F1490">
        <v>350008</v>
      </c>
      <c r="G1490" t="s">
        <v>127</v>
      </c>
      <c r="H1490">
        <v>35</v>
      </c>
      <c r="I1490" t="s">
        <v>17</v>
      </c>
      <c r="J1490">
        <v>1</v>
      </c>
      <c r="K1490" s="4">
        <v>3000</v>
      </c>
      <c r="L1490" s="4">
        <v>3000</v>
      </c>
    </row>
    <row r="1491" spans="2:12" ht="12.75">
      <c r="B1491" t="str">
        <f t="shared" si="73"/>
        <v>5564</v>
      </c>
      <c r="C1491" t="s">
        <v>27</v>
      </c>
      <c r="D1491">
        <v>402514</v>
      </c>
      <c r="E1491" t="s">
        <v>45</v>
      </c>
      <c r="F1491">
        <v>310006</v>
      </c>
      <c r="G1491" t="s">
        <v>204</v>
      </c>
      <c r="H1491">
        <v>31</v>
      </c>
      <c r="I1491" t="s">
        <v>26</v>
      </c>
      <c r="J1491">
        <v>2</v>
      </c>
      <c r="K1491" s="4">
        <v>3000</v>
      </c>
      <c r="L1491" s="4">
        <v>6000</v>
      </c>
    </row>
    <row r="1492" spans="2:12" ht="12.75">
      <c r="B1492" t="str">
        <f t="shared" si="73"/>
        <v>5564</v>
      </c>
      <c r="C1492" t="s">
        <v>27</v>
      </c>
      <c r="D1492">
        <v>402514</v>
      </c>
      <c r="E1492" t="s">
        <v>45</v>
      </c>
      <c r="F1492">
        <v>310007</v>
      </c>
      <c r="G1492" t="s">
        <v>82</v>
      </c>
      <c r="H1492">
        <v>31</v>
      </c>
      <c r="I1492" t="s">
        <v>26</v>
      </c>
      <c r="J1492">
        <v>1</v>
      </c>
      <c r="K1492" s="4">
        <v>18000</v>
      </c>
      <c r="L1492" s="4">
        <v>18000</v>
      </c>
    </row>
    <row r="1493" spans="2:13" ht="12.75">
      <c r="B1493" t="str">
        <f t="shared" si="73"/>
        <v>5564</v>
      </c>
      <c r="C1493" t="s">
        <v>27</v>
      </c>
      <c r="D1493">
        <v>402514</v>
      </c>
      <c r="E1493" t="s">
        <v>45</v>
      </c>
      <c r="F1493">
        <v>310007</v>
      </c>
      <c r="G1493" t="s">
        <v>82</v>
      </c>
      <c r="H1493">
        <v>31</v>
      </c>
      <c r="I1493" t="s">
        <v>26</v>
      </c>
      <c r="J1493">
        <v>2</v>
      </c>
      <c r="K1493" s="4">
        <v>3000</v>
      </c>
      <c r="L1493" s="4">
        <v>6000</v>
      </c>
      <c r="M1493" t="s">
        <v>446</v>
      </c>
    </row>
    <row r="1494" spans="2:12" ht="12.75">
      <c r="B1494" t="str">
        <f t="shared" si="73"/>
        <v>5564</v>
      </c>
      <c r="C1494" t="s">
        <v>27</v>
      </c>
      <c r="D1494">
        <v>402515</v>
      </c>
      <c r="E1494" t="s">
        <v>15</v>
      </c>
      <c r="F1494">
        <v>390002</v>
      </c>
      <c r="G1494" t="s">
        <v>307</v>
      </c>
      <c r="H1494">
        <v>39</v>
      </c>
      <c r="I1494" t="s">
        <v>141</v>
      </c>
      <c r="J1494">
        <v>4</v>
      </c>
      <c r="K1494" s="4">
        <v>4000</v>
      </c>
      <c r="L1494" s="4">
        <v>16000</v>
      </c>
    </row>
    <row r="1495" spans="2:13" ht="12.75">
      <c r="B1495" t="str">
        <f t="shared" si="73"/>
        <v>5564</v>
      </c>
      <c r="C1495" t="s">
        <v>27</v>
      </c>
      <c r="D1495">
        <v>402515</v>
      </c>
      <c r="E1495" t="s">
        <v>15</v>
      </c>
      <c r="F1495">
        <v>390002</v>
      </c>
      <c r="G1495" t="s">
        <v>307</v>
      </c>
      <c r="H1495">
        <v>39</v>
      </c>
      <c r="I1495" t="s">
        <v>141</v>
      </c>
      <c r="J1495">
        <v>1</v>
      </c>
      <c r="K1495" s="4">
        <v>5000</v>
      </c>
      <c r="L1495" s="4">
        <v>5000</v>
      </c>
      <c r="M1495" t="s">
        <v>143</v>
      </c>
    </row>
    <row r="1496" spans="2:12" ht="12.75">
      <c r="B1496" t="str">
        <f t="shared" si="73"/>
        <v>5564</v>
      </c>
      <c r="C1496" t="s">
        <v>27</v>
      </c>
      <c r="D1496">
        <v>402515</v>
      </c>
      <c r="E1496" t="s">
        <v>15</v>
      </c>
      <c r="F1496">
        <v>390003</v>
      </c>
      <c r="G1496" t="s">
        <v>154</v>
      </c>
      <c r="H1496">
        <v>39</v>
      </c>
      <c r="I1496" t="s">
        <v>141</v>
      </c>
      <c r="J1496">
        <v>1</v>
      </c>
      <c r="K1496" s="4">
        <v>12769</v>
      </c>
      <c r="L1496" s="4">
        <v>12769</v>
      </c>
    </row>
    <row r="1497" spans="2:12" ht="12.75">
      <c r="B1497" t="str">
        <f t="shared" si="73"/>
        <v>5564</v>
      </c>
      <c r="C1497" t="s">
        <v>27</v>
      </c>
      <c r="D1497">
        <v>402941</v>
      </c>
      <c r="E1497" t="s">
        <v>98</v>
      </c>
      <c r="F1497">
        <v>440001</v>
      </c>
      <c r="G1497" t="s">
        <v>192</v>
      </c>
      <c r="H1497">
        <v>44</v>
      </c>
      <c r="I1497" t="s">
        <v>99</v>
      </c>
      <c r="J1497">
        <v>1</v>
      </c>
      <c r="K1497" s="4">
        <v>32269</v>
      </c>
      <c r="L1497" s="4">
        <v>32269</v>
      </c>
    </row>
    <row r="1498" spans="2:12" ht="12.75">
      <c r="B1498" t="str">
        <f t="shared" si="73"/>
        <v>5564</v>
      </c>
      <c r="C1498" t="s">
        <v>27</v>
      </c>
      <c r="D1498">
        <v>420202</v>
      </c>
      <c r="E1498" t="s">
        <v>19</v>
      </c>
      <c r="F1498">
        <v>10002</v>
      </c>
      <c r="G1498" t="s">
        <v>20</v>
      </c>
      <c r="H1498">
        <v>1</v>
      </c>
      <c r="I1498" t="s">
        <v>21</v>
      </c>
      <c r="J1498">
        <v>150</v>
      </c>
      <c r="K1498" s="4">
        <v>650</v>
      </c>
      <c r="L1498" s="4">
        <v>97500</v>
      </c>
    </row>
    <row r="1499" spans="2:12" ht="12.75">
      <c r="B1499" t="str">
        <f t="shared" si="73"/>
        <v>5564</v>
      </c>
      <c r="C1499" t="s">
        <v>27</v>
      </c>
      <c r="D1499">
        <v>420202</v>
      </c>
      <c r="E1499" t="s">
        <v>19</v>
      </c>
      <c r="F1499">
        <v>20001</v>
      </c>
      <c r="G1499" t="s">
        <v>29</v>
      </c>
      <c r="H1499">
        <v>2</v>
      </c>
      <c r="I1499" t="s">
        <v>30</v>
      </c>
      <c r="J1499">
        <v>15</v>
      </c>
      <c r="K1499" s="4">
        <v>1200</v>
      </c>
      <c r="L1499" s="4">
        <v>18000</v>
      </c>
    </row>
    <row r="1500" spans="2:12" ht="12.75">
      <c r="B1500" t="str">
        <f t="shared" si="73"/>
        <v>5564</v>
      </c>
      <c r="C1500" t="s">
        <v>27</v>
      </c>
      <c r="D1500">
        <v>420202</v>
      </c>
      <c r="E1500" t="s">
        <v>19</v>
      </c>
      <c r="F1500">
        <v>40001</v>
      </c>
      <c r="G1500" t="s">
        <v>59</v>
      </c>
      <c r="H1500">
        <v>4</v>
      </c>
      <c r="I1500" t="s">
        <v>23</v>
      </c>
      <c r="J1500">
        <v>150</v>
      </c>
      <c r="K1500" s="4">
        <v>180</v>
      </c>
      <c r="L1500" s="4">
        <v>27000</v>
      </c>
    </row>
    <row r="1501" spans="2:12" ht="12.75">
      <c r="B1501" t="str">
        <f t="shared" si="73"/>
        <v>5564</v>
      </c>
      <c r="C1501" t="s">
        <v>27</v>
      </c>
      <c r="D1501">
        <v>420202</v>
      </c>
      <c r="E1501" t="s">
        <v>19</v>
      </c>
      <c r="F1501">
        <v>60002</v>
      </c>
      <c r="G1501" t="s">
        <v>31</v>
      </c>
      <c r="H1501">
        <v>6</v>
      </c>
      <c r="I1501" t="s">
        <v>32</v>
      </c>
      <c r="J1501">
        <v>2</v>
      </c>
      <c r="K1501" s="4">
        <v>2939</v>
      </c>
      <c r="L1501" s="4">
        <v>5878</v>
      </c>
    </row>
    <row r="1502" spans="2:12" ht="12.75">
      <c r="B1502" t="str">
        <f t="shared" si="73"/>
        <v>5564</v>
      </c>
      <c r="C1502" t="s">
        <v>27</v>
      </c>
      <c r="D1502">
        <v>420202</v>
      </c>
      <c r="E1502" t="s">
        <v>19</v>
      </c>
      <c r="F1502">
        <v>60002</v>
      </c>
      <c r="G1502" t="s">
        <v>31</v>
      </c>
      <c r="H1502">
        <v>6</v>
      </c>
      <c r="I1502" t="s">
        <v>32</v>
      </c>
      <c r="J1502">
        <v>5</v>
      </c>
      <c r="K1502" s="4">
        <v>7673</v>
      </c>
      <c r="L1502" s="4">
        <v>38365</v>
      </c>
    </row>
    <row r="1503" spans="2:12" ht="12.75">
      <c r="B1503" t="str">
        <f t="shared" si="73"/>
        <v>5564</v>
      </c>
      <c r="C1503" t="s">
        <v>27</v>
      </c>
      <c r="D1503">
        <v>420202</v>
      </c>
      <c r="E1503" t="s">
        <v>19</v>
      </c>
      <c r="F1503">
        <v>60002</v>
      </c>
      <c r="G1503" t="s">
        <v>31</v>
      </c>
      <c r="H1503">
        <v>6</v>
      </c>
      <c r="I1503" t="s">
        <v>32</v>
      </c>
      <c r="J1503">
        <v>20</v>
      </c>
      <c r="K1503" s="4">
        <v>800</v>
      </c>
      <c r="L1503" s="4">
        <v>16000</v>
      </c>
    </row>
    <row r="1504" spans="2:12" ht="12.75">
      <c r="B1504" t="str">
        <f t="shared" si="73"/>
        <v>5564</v>
      </c>
      <c r="C1504" t="s">
        <v>27</v>
      </c>
      <c r="D1504">
        <v>420202</v>
      </c>
      <c r="E1504" t="s">
        <v>19</v>
      </c>
      <c r="F1504">
        <v>60002</v>
      </c>
      <c r="G1504" t="s">
        <v>31</v>
      </c>
      <c r="H1504">
        <v>6</v>
      </c>
      <c r="I1504" t="s">
        <v>32</v>
      </c>
      <c r="J1504">
        <v>40</v>
      </c>
      <c r="K1504" s="4">
        <v>260</v>
      </c>
      <c r="L1504" s="4">
        <v>10400</v>
      </c>
    </row>
    <row r="1505" spans="2:12" ht="12.75">
      <c r="B1505" t="str">
        <f t="shared" si="73"/>
        <v>5564</v>
      </c>
      <c r="C1505" t="s">
        <v>27</v>
      </c>
      <c r="D1505">
        <v>420202</v>
      </c>
      <c r="E1505" t="s">
        <v>19</v>
      </c>
      <c r="F1505">
        <v>70003</v>
      </c>
      <c r="G1505" t="s">
        <v>73</v>
      </c>
      <c r="H1505">
        <v>7</v>
      </c>
      <c r="I1505" t="s">
        <v>74</v>
      </c>
      <c r="J1505">
        <v>2</v>
      </c>
      <c r="K1505" s="4">
        <v>850</v>
      </c>
      <c r="L1505" s="4">
        <v>1700</v>
      </c>
    </row>
    <row r="1506" spans="2:12" ht="12.75">
      <c r="B1506" t="str">
        <f t="shared" si="73"/>
        <v>5564</v>
      </c>
      <c r="C1506" t="s">
        <v>27</v>
      </c>
      <c r="D1506">
        <v>420202</v>
      </c>
      <c r="E1506" t="s">
        <v>19</v>
      </c>
      <c r="F1506">
        <v>80001</v>
      </c>
      <c r="G1506" t="s">
        <v>437</v>
      </c>
      <c r="H1506">
        <v>8</v>
      </c>
      <c r="I1506" t="s">
        <v>76</v>
      </c>
      <c r="J1506">
        <v>30</v>
      </c>
      <c r="K1506" s="4">
        <v>150</v>
      </c>
      <c r="L1506" s="4">
        <v>4500</v>
      </c>
    </row>
    <row r="1507" spans="2:12" ht="12.75">
      <c r="B1507" t="str">
        <f t="shared" si="73"/>
        <v>5564</v>
      </c>
      <c r="C1507" t="s">
        <v>27</v>
      </c>
      <c r="D1507">
        <v>420202</v>
      </c>
      <c r="E1507" t="s">
        <v>19</v>
      </c>
      <c r="F1507">
        <v>250001</v>
      </c>
      <c r="G1507" t="s">
        <v>225</v>
      </c>
      <c r="H1507">
        <v>25</v>
      </c>
      <c r="I1507" t="s">
        <v>120</v>
      </c>
      <c r="J1507">
        <v>1</v>
      </c>
      <c r="K1507" s="4">
        <v>1670</v>
      </c>
      <c r="L1507" s="4">
        <v>1670</v>
      </c>
    </row>
    <row r="1508" spans="2:12" ht="12.75">
      <c r="B1508" t="str">
        <f t="shared" si="73"/>
        <v>5564</v>
      </c>
      <c r="C1508" t="s">
        <v>27</v>
      </c>
      <c r="D1508">
        <v>420222</v>
      </c>
      <c r="E1508" t="s">
        <v>60</v>
      </c>
      <c r="F1508">
        <v>230001</v>
      </c>
      <c r="G1508" t="s">
        <v>236</v>
      </c>
      <c r="H1508">
        <v>23</v>
      </c>
      <c r="I1508" t="s">
        <v>143</v>
      </c>
      <c r="J1508">
        <v>2</v>
      </c>
      <c r="K1508" s="4">
        <v>7400</v>
      </c>
      <c r="L1508" s="4">
        <v>14800</v>
      </c>
    </row>
    <row r="1509" spans="2:12" ht="12.75">
      <c r="B1509" t="str">
        <f t="shared" si="73"/>
        <v>5564</v>
      </c>
      <c r="C1509" t="s">
        <v>27</v>
      </c>
      <c r="D1509">
        <v>420222</v>
      </c>
      <c r="E1509" t="s">
        <v>60</v>
      </c>
      <c r="F1509">
        <v>230001</v>
      </c>
      <c r="G1509" t="s">
        <v>236</v>
      </c>
      <c r="H1509">
        <v>23</v>
      </c>
      <c r="I1509" t="s">
        <v>143</v>
      </c>
      <c r="J1509">
        <v>1</v>
      </c>
      <c r="K1509" s="4">
        <v>15000</v>
      </c>
      <c r="L1509" s="4">
        <v>15000</v>
      </c>
    </row>
    <row r="1510" spans="2:12" ht="12.75">
      <c r="B1510" t="str">
        <f t="shared" si="73"/>
        <v>5564</v>
      </c>
      <c r="C1510" t="s">
        <v>27</v>
      </c>
      <c r="D1510">
        <v>420222</v>
      </c>
      <c r="E1510" t="s">
        <v>60</v>
      </c>
      <c r="F1510">
        <v>230002</v>
      </c>
      <c r="G1510" t="s">
        <v>214</v>
      </c>
      <c r="H1510">
        <v>23</v>
      </c>
      <c r="I1510" t="s">
        <v>143</v>
      </c>
      <c r="J1510">
        <v>1</v>
      </c>
      <c r="K1510" s="4">
        <v>15000</v>
      </c>
      <c r="L1510" s="4">
        <v>15000</v>
      </c>
    </row>
    <row r="1511" spans="2:12" ht="12.75">
      <c r="B1511" t="str">
        <f t="shared" si="73"/>
        <v>5564</v>
      </c>
      <c r="C1511" t="s">
        <v>27</v>
      </c>
      <c r="D1511">
        <v>420222</v>
      </c>
      <c r="E1511" t="s">
        <v>60</v>
      </c>
      <c r="F1511">
        <v>240007</v>
      </c>
      <c r="G1511" t="s">
        <v>303</v>
      </c>
      <c r="H1511">
        <v>24</v>
      </c>
      <c r="I1511" t="s">
        <v>118</v>
      </c>
      <c r="J1511">
        <v>1</v>
      </c>
      <c r="K1511" s="4">
        <v>15000</v>
      </c>
      <c r="L1511" s="4">
        <v>15000</v>
      </c>
    </row>
    <row r="1512" spans="2:12" ht="12.75">
      <c r="B1512" t="str">
        <f t="shared" si="73"/>
        <v>5564</v>
      </c>
      <c r="C1512" t="s">
        <v>27</v>
      </c>
      <c r="D1512">
        <v>420248</v>
      </c>
      <c r="E1512" t="s">
        <v>36</v>
      </c>
      <c r="F1512">
        <v>120001</v>
      </c>
      <c r="G1512" t="s">
        <v>114</v>
      </c>
      <c r="H1512">
        <v>12</v>
      </c>
      <c r="I1512" t="s">
        <v>38</v>
      </c>
      <c r="J1512">
        <v>2</v>
      </c>
      <c r="K1512" s="4">
        <v>850</v>
      </c>
      <c r="L1512" s="4">
        <v>1700</v>
      </c>
    </row>
    <row r="1513" spans="2:12" ht="12.75">
      <c r="B1513" t="str">
        <f t="shared" si="73"/>
        <v>5564</v>
      </c>
      <c r="C1513" t="s">
        <v>27</v>
      </c>
      <c r="D1513">
        <v>420248</v>
      </c>
      <c r="E1513" t="s">
        <v>36</v>
      </c>
      <c r="F1513">
        <v>120007</v>
      </c>
      <c r="G1513" t="s">
        <v>25</v>
      </c>
      <c r="H1513">
        <v>12</v>
      </c>
      <c r="I1513" t="s">
        <v>38</v>
      </c>
      <c r="J1513">
        <v>2</v>
      </c>
      <c r="K1513" s="4">
        <v>850</v>
      </c>
      <c r="L1513" s="4">
        <v>1700</v>
      </c>
    </row>
    <row r="1514" spans="2:12" ht="12.75">
      <c r="B1514" t="str">
        <f t="shared" si="73"/>
        <v>5564</v>
      </c>
      <c r="C1514" t="s">
        <v>27</v>
      </c>
      <c r="D1514">
        <v>420248</v>
      </c>
      <c r="E1514" t="s">
        <v>36</v>
      </c>
      <c r="F1514">
        <v>170007</v>
      </c>
      <c r="G1514" t="s">
        <v>447</v>
      </c>
      <c r="H1514">
        <v>17</v>
      </c>
      <c r="I1514" t="s">
        <v>116</v>
      </c>
      <c r="J1514">
        <v>1</v>
      </c>
      <c r="K1514" s="4">
        <v>10000</v>
      </c>
      <c r="L1514" s="4">
        <v>10000</v>
      </c>
    </row>
    <row r="1515" spans="2:12" ht="12.75">
      <c r="B1515" t="str">
        <f t="shared" si="73"/>
        <v>5564</v>
      </c>
      <c r="C1515" t="s">
        <v>27</v>
      </c>
      <c r="D1515">
        <v>420703</v>
      </c>
      <c r="E1515" t="s">
        <v>51</v>
      </c>
      <c r="F1515">
        <v>310005</v>
      </c>
      <c r="G1515" t="s">
        <v>46</v>
      </c>
      <c r="H1515">
        <v>31</v>
      </c>
      <c r="I1515" t="s">
        <v>26</v>
      </c>
      <c r="J1515">
        <v>1</v>
      </c>
      <c r="K1515" s="4">
        <v>40000</v>
      </c>
      <c r="L1515" s="4">
        <v>40000</v>
      </c>
    </row>
    <row r="1516" spans="2:13" ht="12.75">
      <c r="B1516" t="str">
        <f aca="true" t="shared" si="74" ref="B1516:B1557">"5614"</f>
        <v>5614</v>
      </c>
      <c r="C1516" t="s">
        <v>448</v>
      </c>
      <c r="D1516">
        <v>402007</v>
      </c>
      <c r="E1516" t="s">
        <v>41</v>
      </c>
      <c r="F1516">
        <v>310007</v>
      </c>
      <c r="G1516" t="s">
        <v>82</v>
      </c>
      <c r="H1516">
        <v>31</v>
      </c>
      <c r="I1516" t="s">
        <v>26</v>
      </c>
      <c r="J1516">
        <v>1</v>
      </c>
      <c r="K1516" s="4">
        <v>374.88</v>
      </c>
      <c r="L1516" s="4">
        <v>374.88</v>
      </c>
      <c r="M1516">
        <v>1521</v>
      </c>
    </row>
    <row r="1517" spans="2:13" ht="12.75">
      <c r="B1517" t="str">
        <f t="shared" si="74"/>
        <v>5614</v>
      </c>
      <c r="C1517" t="s">
        <v>448</v>
      </c>
      <c r="D1517">
        <v>402007</v>
      </c>
      <c r="E1517" t="s">
        <v>41</v>
      </c>
      <c r="F1517">
        <v>310007</v>
      </c>
      <c r="G1517" t="s">
        <v>82</v>
      </c>
      <c r="H1517">
        <v>31</v>
      </c>
      <c r="I1517" t="s">
        <v>26</v>
      </c>
      <c r="J1517">
        <v>1</v>
      </c>
      <c r="K1517" s="4">
        <v>477.12</v>
      </c>
      <c r="L1517" s="4">
        <v>477.12</v>
      </c>
      <c r="M1517">
        <v>1521</v>
      </c>
    </row>
    <row r="1518" spans="2:13" ht="12.75">
      <c r="B1518" t="str">
        <f t="shared" si="74"/>
        <v>5614</v>
      </c>
      <c r="C1518" t="s">
        <v>448</v>
      </c>
      <c r="D1518">
        <v>402007</v>
      </c>
      <c r="E1518" t="s">
        <v>41</v>
      </c>
      <c r="F1518">
        <v>310007</v>
      </c>
      <c r="G1518" t="s">
        <v>82</v>
      </c>
      <c r="H1518">
        <v>31</v>
      </c>
      <c r="I1518" t="s">
        <v>26</v>
      </c>
      <c r="J1518">
        <v>1</v>
      </c>
      <c r="K1518" s="4">
        <v>414.93</v>
      </c>
      <c r="L1518" s="4">
        <v>414.93</v>
      </c>
      <c r="M1518">
        <v>1521</v>
      </c>
    </row>
    <row r="1519" spans="2:13" ht="12.75">
      <c r="B1519" t="str">
        <f t="shared" si="74"/>
        <v>5614</v>
      </c>
      <c r="C1519" t="s">
        <v>448</v>
      </c>
      <c r="D1519">
        <v>402007</v>
      </c>
      <c r="E1519" t="s">
        <v>41</v>
      </c>
      <c r="F1519">
        <v>310007</v>
      </c>
      <c r="G1519" t="s">
        <v>82</v>
      </c>
      <c r="H1519">
        <v>31</v>
      </c>
      <c r="I1519" t="s">
        <v>26</v>
      </c>
      <c r="J1519">
        <v>1</v>
      </c>
      <c r="K1519" s="4">
        <v>4757.14</v>
      </c>
      <c r="L1519" s="4">
        <v>4757.14</v>
      </c>
      <c r="M1519">
        <v>1521</v>
      </c>
    </row>
    <row r="1520" spans="2:13" ht="12.75">
      <c r="B1520" t="str">
        <f t="shared" si="74"/>
        <v>5614</v>
      </c>
      <c r="C1520" t="s">
        <v>448</v>
      </c>
      <c r="D1520">
        <v>402513</v>
      </c>
      <c r="E1520" t="s">
        <v>85</v>
      </c>
      <c r="F1520">
        <v>310007</v>
      </c>
      <c r="G1520" t="s">
        <v>82</v>
      </c>
      <c r="H1520">
        <v>31</v>
      </c>
      <c r="I1520" t="s">
        <v>26</v>
      </c>
      <c r="J1520">
        <v>1</v>
      </c>
      <c r="K1520" s="4">
        <v>248046.86</v>
      </c>
      <c r="L1520" s="4">
        <v>248046.86</v>
      </c>
      <c r="M1520">
        <v>1521</v>
      </c>
    </row>
    <row r="1521" spans="2:13" ht="12.75">
      <c r="B1521" t="str">
        <f t="shared" si="74"/>
        <v>5614</v>
      </c>
      <c r="C1521" t="s">
        <v>448</v>
      </c>
      <c r="D1521">
        <v>402514</v>
      </c>
      <c r="E1521" t="s">
        <v>45</v>
      </c>
      <c r="F1521">
        <v>310007</v>
      </c>
      <c r="G1521" t="s">
        <v>82</v>
      </c>
      <c r="H1521">
        <v>31</v>
      </c>
      <c r="I1521" t="s">
        <v>26</v>
      </c>
      <c r="J1521">
        <v>1</v>
      </c>
      <c r="K1521" s="4">
        <v>2041202.6</v>
      </c>
      <c r="L1521" s="4">
        <v>2041202.6</v>
      </c>
      <c r="M1521">
        <v>1521</v>
      </c>
    </row>
    <row r="1522" spans="2:13" ht="12.75">
      <c r="B1522" t="str">
        <f t="shared" si="74"/>
        <v>5614</v>
      </c>
      <c r="C1522" t="s">
        <v>448</v>
      </c>
      <c r="D1522">
        <v>402515</v>
      </c>
      <c r="E1522" t="s">
        <v>15</v>
      </c>
      <c r="F1522">
        <v>310007</v>
      </c>
      <c r="G1522" t="s">
        <v>82</v>
      </c>
      <c r="H1522">
        <v>31</v>
      </c>
      <c r="I1522" t="s">
        <v>26</v>
      </c>
      <c r="J1522">
        <v>1</v>
      </c>
      <c r="K1522" s="4">
        <v>356181.14</v>
      </c>
      <c r="L1522" s="4">
        <v>356181.14</v>
      </c>
      <c r="M1522">
        <v>1521</v>
      </c>
    </row>
    <row r="1523" spans="2:13" ht="12.75">
      <c r="B1523" t="str">
        <f t="shared" si="74"/>
        <v>5614</v>
      </c>
      <c r="C1523" t="s">
        <v>448</v>
      </c>
      <c r="D1523">
        <v>402516</v>
      </c>
      <c r="E1523" t="s">
        <v>109</v>
      </c>
      <c r="F1523">
        <v>350006</v>
      </c>
      <c r="G1523" t="s">
        <v>239</v>
      </c>
      <c r="H1523">
        <v>35</v>
      </c>
      <c r="I1523" t="s">
        <v>17</v>
      </c>
      <c r="J1523">
        <v>1</v>
      </c>
      <c r="K1523" s="4">
        <v>285545.75</v>
      </c>
      <c r="L1523" s="4">
        <v>285545.75</v>
      </c>
      <c r="M1523">
        <v>1521</v>
      </c>
    </row>
    <row r="1524" spans="2:13" ht="12.75">
      <c r="B1524" t="str">
        <f t="shared" si="74"/>
        <v>5614</v>
      </c>
      <c r="C1524" t="s">
        <v>448</v>
      </c>
      <c r="D1524">
        <v>402516</v>
      </c>
      <c r="E1524" t="s">
        <v>109</v>
      </c>
      <c r="F1524">
        <v>350006</v>
      </c>
      <c r="G1524" t="s">
        <v>239</v>
      </c>
      <c r="H1524">
        <v>35</v>
      </c>
      <c r="I1524" t="s">
        <v>17</v>
      </c>
      <c r="J1524">
        <v>1</v>
      </c>
      <c r="K1524" s="4">
        <v>387581.4</v>
      </c>
      <c r="L1524" s="4">
        <v>387581.4</v>
      </c>
      <c r="M1524">
        <v>1521</v>
      </c>
    </row>
    <row r="1525" spans="2:13" ht="12.75">
      <c r="B1525" t="str">
        <f t="shared" si="74"/>
        <v>5614</v>
      </c>
      <c r="C1525" t="s">
        <v>448</v>
      </c>
      <c r="D1525">
        <v>402516</v>
      </c>
      <c r="E1525" t="s">
        <v>109</v>
      </c>
      <c r="F1525">
        <v>350006</v>
      </c>
      <c r="G1525" t="s">
        <v>239</v>
      </c>
      <c r="H1525">
        <v>35</v>
      </c>
      <c r="I1525" t="s">
        <v>17</v>
      </c>
      <c r="J1525">
        <v>1</v>
      </c>
      <c r="K1525" s="4">
        <v>1287.72</v>
      </c>
      <c r="L1525" s="4">
        <v>1287.72</v>
      </c>
      <c r="M1525">
        <v>1521</v>
      </c>
    </row>
    <row r="1526" spans="2:13" ht="12.75">
      <c r="B1526" t="str">
        <f t="shared" si="74"/>
        <v>5614</v>
      </c>
      <c r="C1526" t="s">
        <v>448</v>
      </c>
      <c r="D1526">
        <v>402516</v>
      </c>
      <c r="E1526" t="s">
        <v>109</v>
      </c>
      <c r="F1526">
        <v>350006</v>
      </c>
      <c r="G1526" t="s">
        <v>239</v>
      </c>
      <c r="H1526">
        <v>35</v>
      </c>
      <c r="I1526" t="s">
        <v>17</v>
      </c>
      <c r="J1526">
        <v>1</v>
      </c>
      <c r="K1526" s="4">
        <v>2204654.7</v>
      </c>
      <c r="L1526" s="4">
        <v>2204654.7</v>
      </c>
      <c r="M1526">
        <v>1521</v>
      </c>
    </row>
    <row r="1527" spans="2:13" ht="12.75">
      <c r="B1527" t="str">
        <f t="shared" si="74"/>
        <v>5614</v>
      </c>
      <c r="C1527" t="s">
        <v>448</v>
      </c>
      <c r="D1527">
        <v>402607</v>
      </c>
      <c r="E1527" t="s">
        <v>91</v>
      </c>
      <c r="F1527">
        <v>310004</v>
      </c>
      <c r="G1527" t="s">
        <v>121</v>
      </c>
      <c r="H1527">
        <v>31</v>
      </c>
      <c r="I1527" t="s">
        <v>26</v>
      </c>
      <c r="J1527">
        <v>1</v>
      </c>
      <c r="K1527" s="4">
        <v>980000</v>
      </c>
      <c r="L1527" s="4">
        <v>980000</v>
      </c>
      <c r="M1527" t="s">
        <v>449</v>
      </c>
    </row>
    <row r="1528" spans="2:13" ht="12.75">
      <c r="B1528" t="str">
        <f t="shared" si="74"/>
        <v>5614</v>
      </c>
      <c r="C1528" t="s">
        <v>448</v>
      </c>
      <c r="D1528">
        <v>402607</v>
      </c>
      <c r="E1528" t="s">
        <v>91</v>
      </c>
      <c r="F1528">
        <v>310007</v>
      </c>
      <c r="G1528" t="s">
        <v>82</v>
      </c>
      <c r="H1528">
        <v>31</v>
      </c>
      <c r="I1528" t="s">
        <v>26</v>
      </c>
      <c r="J1528">
        <v>1</v>
      </c>
      <c r="K1528" s="4">
        <v>1359678</v>
      </c>
      <c r="L1528" s="4">
        <v>1359678</v>
      </c>
      <c r="M1528" t="s">
        <v>450</v>
      </c>
    </row>
    <row r="1529" spans="2:13" ht="12.75">
      <c r="B1529" t="str">
        <f t="shared" si="74"/>
        <v>5614</v>
      </c>
      <c r="C1529" t="s">
        <v>448</v>
      </c>
      <c r="D1529">
        <v>402608</v>
      </c>
      <c r="E1529" t="s">
        <v>178</v>
      </c>
      <c r="F1529">
        <v>350006</v>
      </c>
      <c r="G1529" t="s">
        <v>239</v>
      </c>
      <c r="H1529">
        <v>35</v>
      </c>
      <c r="I1529" t="s">
        <v>17</v>
      </c>
      <c r="J1529">
        <v>1</v>
      </c>
      <c r="K1529" s="4">
        <v>35096.17</v>
      </c>
      <c r="L1529" s="4">
        <v>35096.17</v>
      </c>
      <c r="M1529">
        <v>1521</v>
      </c>
    </row>
    <row r="1530" spans="2:13" ht="12.75">
      <c r="B1530" t="str">
        <f t="shared" si="74"/>
        <v>5614</v>
      </c>
      <c r="C1530" t="s">
        <v>448</v>
      </c>
      <c r="D1530">
        <v>402608</v>
      </c>
      <c r="E1530" t="s">
        <v>178</v>
      </c>
      <c r="F1530">
        <v>350008</v>
      </c>
      <c r="G1530" t="s">
        <v>127</v>
      </c>
      <c r="H1530">
        <v>35</v>
      </c>
      <c r="I1530" t="s">
        <v>17</v>
      </c>
      <c r="J1530">
        <v>1</v>
      </c>
      <c r="K1530" s="4">
        <v>16.35</v>
      </c>
      <c r="L1530" s="4">
        <v>16.35</v>
      </c>
      <c r="M1530">
        <v>1521</v>
      </c>
    </row>
    <row r="1531" spans="2:13" ht="12.75">
      <c r="B1531" t="str">
        <f t="shared" si="74"/>
        <v>5614</v>
      </c>
      <c r="C1531" t="s">
        <v>448</v>
      </c>
      <c r="D1531">
        <v>420202</v>
      </c>
      <c r="E1531" t="s">
        <v>19</v>
      </c>
      <c r="F1531">
        <v>80003</v>
      </c>
      <c r="G1531" t="s">
        <v>75</v>
      </c>
      <c r="H1531">
        <v>8</v>
      </c>
      <c r="I1531" t="s">
        <v>76</v>
      </c>
      <c r="J1531">
        <v>1</v>
      </c>
      <c r="K1531" s="4">
        <v>12000</v>
      </c>
      <c r="L1531" s="4">
        <v>12000</v>
      </c>
      <c r="M1531" t="s">
        <v>449</v>
      </c>
    </row>
    <row r="1532" spans="2:13" ht="12.75">
      <c r="B1532" t="str">
        <f t="shared" si="74"/>
        <v>5614</v>
      </c>
      <c r="C1532" t="s">
        <v>448</v>
      </c>
      <c r="D1532">
        <v>420202</v>
      </c>
      <c r="E1532" t="s">
        <v>19</v>
      </c>
      <c r="F1532">
        <v>80003</v>
      </c>
      <c r="G1532" t="s">
        <v>75</v>
      </c>
      <c r="H1532">
        <v>8</v>
      </c>
      <c r="I1532" t="s">
        <v>76</v>
      </c>
      <c r="J1532">
        <v>1</v>
      </c>
      <c r="K1532" s="4">
        <v>34000</v>
      </c>
      <c r="L1532" s="4">
        <v>34000</v>
      </c>
      <c r="M1532" t="s">
        <v>451</v>
      </c>
    </row>
    <row r="1533" spans="2:13" ht="12.75">
      <c r="B1533" t="str">
        <f t="shared" si="74"/>
        <v>5614</v>
      </c>
      <c r="C1533" t="s">
        <v>448</v>
      </c>
      <c r="D1533">
        <v>420202</v>
      </c>
      <c r="E1533" t="s">
        <v>19</v>
      </c>
      <c r="F1533">
        <v>80003</v>
      </c>
      <c r="G1533" t="s">
        <v>75</v>
      </c>
      <c r="H1533">
        <v>8</v>
      </c>
      <c r="I1533" t="s">
        <v>76</v>
      </c>
      <c r="J1533">
        <v>1</v>
      </c>
      <c r="K1533" s="4">
        <v>7500</v>
      </c>
      <c r="L1533" s="4">
        <v>7500</v>
      </c>
      <c r="M1533" t="s">
        <v>452</v>
      </c>
    </row>
    <row r="1534" spans="2:13" ht="12.75">
      <c r="B1534" t="str">
        <f t="shared" si="74"/>
        <v>5614</v>
      </c>
      <c r="C1534" t="s">
        <v>448</v>
      </c>
      <c r="D1534">
        <v>420202</v>
      </c>
      <c r="E1534" t="s">
        <v>19</v>
      </c>
      <c r="F1534">
        <v>400023</v>
      </c>
      <c r="G1534" t="s">
        <v>94</v>
      </c>
      <c r="H1534">
        <v>40</v>
      </c>
      <c r="I1534" t="s">
        <v>50</v>
      </c>
      <c r="J1534">
        <v>1</v>
      </c>
      <c r="K1534" s="4">
        <v>70000</v>
      </c>
      <c r="L1534" s="4">
        <v>70000</v>
      </c>
      <c r="M1534" t="s">
        <v>453</v>
      </c>
    </row>
    <row r="1535" spans="2:13" ht="12.75">
      <c r="B1535" t="str">
        <f t="shared" si="74"/>
        <v>5614</v>
      </c>
      <c r="C1535" t="s">
        <v>448</v>
      </c>
      <c r="D1535">
        <v>420222</v>
      </c>
      <c r="E1535" t="s">
        <v>60</v>
      </c>
      <c r="F1535">
        <v>130007</v>
      </c>
      <c r="G1535" t="s">
        <v>25</v>
      </c>
      <c r="H1535">
        <v>13</v>
      </c>
      <c r="I1535" t="s">
        <v>137</v>
      </c>
      <c r="J1535">
        <v>1</v>
      </c>
      <c r="K1535" s="4">
        <v>257000</v>
      </c>
      <c r="L1535" s="4">
        <v>257000</v>
      </c>
      <c r="M1535" t="s">
        <v>449</v>
      </c>
    </row>
    <row r="1536" spans="2:13" ht="12.75">
      <c r="B1536" t="str">
        <f t="shared" si="74"/>
        <v>5614</v>
      </c>
      <c r="C1536" t="s">
        <v>448</v>
      </c>
      <c r="D1536">
        <v>420222</v>
      </c>
      <c r="E1536" t="s">
        <v>60</v>
      </c>
      <c r="F1536">
        <v>220001</v>
      </c>
      <c r="G1536" t="s">
        <v>454</v>
      </c>
      <c r="H1536">
        <v>22</v>
      </c>
      <c r="I1536" t="s">
        <v>455</v>
      </c>
      <c r="J1536">
        <v>1</v>
      </c>
      <c r="K1536" s="4">
        <v>105000</v>
      </c>
      <c r="L1536" s="4">
        <v>105000</v>
      </c>
      <c r="M1536" t="s">
        <v>449</v>
      </c>
    </row>
    <row r="1537" spans="2:13" ht="12.75">
      <c r="B1537" t="str">
        <f t="shared" si="74"/>
        <v>5614</v>
      </c>
      <c r="C1537" t="s">
        <v>448</v>
      </c>
      <c r="D1537">
        <v>420222</v>
      </c>
      <c r="E1537" t="s">
        <v>60</v>
      </c>
      <c r="F1537">
        <v>400012</v>
      </c>
      <c r="G1537" t="s">
        <v>90</v>
      </c>
      <c r="H1537">
        <v>40</v>
      </c>
      <c r="I1537" t="s">
        <v>50</v>
      </c>
      <c r="J1537">
        <v>1</v>
      </c>
      <c r="K1537" s="4">
        <v>55000</v>
      </c>
      <c r="L1537" s="4">
        <v>55000</v>
      </c>
      <c r="M1537" t="s">
        <v>449</v>
      </c>
    </row>
    <row r="1538" spans="2:13" ht="12.75">
      <c r="B1538" t="str">
        <f t="shared" si="74"/>
        <v>5614</v>
      </c>
      <c r="C1538" t="s">
        <v>448</v>
      </c>
      <c r="D1538">
        <v>420222</v>
      </c>
      <c r="E1538" t="s">
        <v>60</v>
      </c>
      <c r="F1538">
        <v>400012</v>
      </c>
      <c r="G1538" t="s">
        <v>90</v>
      </c>
      <c r="H1538">
        <v>40</v>
      </c>
      <c r="I1538" t="s">
        <v>50</v>
      </c>
      <c r="J1538">
        <v>1</v>
      </c>
      <c r="K1538" s="4">
        <v>22000</v>
      </c>
      <c r="L1538" s="4">
        <v>22000</v>
      </c>
      <c r="M1538" t="s">
        <v>451</v>
      </c>
    </row>
    <row r="1539" spans="2:13" ht="12.75">
      <c r="B1539" t="str">
        <f t="shared" si="74"/>
        <v>5614</v>
      </c>
      <c r="C1539" t="s">
        <v>448</v>
      </c>
      <c r="D1539">
        <v>420222</v>
      </c>
      <c r="E1539" t="s">
        <v>60</v>
      </c>
      <c r="F1539">
        <v>400012</v>
      </c>
      <c r="G1539" t="s">
        <v>90</v>
      </c>
      <c r="H1539">
        <v>40</v>
      </c>
      <c r="I1539" t="s">
        <v>50</v>
      </c>
      <c r="J1539">
        <v>1</v>
      </c>
      <c r="K1539" s="4">
        <v>6000</v>
      </c>
      <c r="L1539" s="4">
        <v>6000</v>
      </c>
      <c r="M1539" t="s">
        <v>453</v>
      </c>
    </row>
    <row r="1540" spans="2:13" ht="12.75">
      <c r="B1540" t="str">
        <f t="shared" si="74"/>
        <v>5614</v>
      </c>
      <c r="C1540" t="s">
        <v>448</v>
      </c>
      <c r="D1540">
        <v>420222</v>
      </c>
      <c r="E1540" t="s">
        <v>60</v>
      </c>
      <c r="F1540">
        <v>400012</v>
      </c>
      <c r="G1540" t="s">
        <v>90</v>
      </c>
      <c r="H1540">
        <v>40</v>
      </c>
      <c r="I1540" t="s">
        <v>50</v>
      </c>
      <c r="J1540">
        <v>1</v>
      </c>
      <c r="K1540" s="4">
        <v>12000</v>
      </c>
      <c r="L1540" s="4">
        <v>12000</v>
      </c>
      <c r="M1540" t="s">
        <v>453</v>
      </c>
    </row>
    <row r="1541" spans="2:13" ht="12.75">
      <c r="B1541" t="str">
        <f t="shared" si="74"/>
        <v>5614</v>
      </c>
      <c r="C1541" t="s">
        <v>448</v>
      </c>
      <c r="D1541">
        <v>420222</v>
      </c>
      <c r="E1541" t="s">
        <v>60</v>
      </c>
      <c r="F1541">
        <v>400012</v>
      </c>
      <c r="G1541" t="s">
        <v>90</v>
      </c>
      <c r="H1541">
        <v>40</v>
      </c>
      <c r="I1541" t="s">
        <v>50</v>
      </c>
      <c r="J1541">
        <v>1</v>
      </c>
      <c r="K1541" s="4">
        <v>6000</v>
      </c>
      <c r="L1541" s="4">
        <v>6000</v>
      </c>
      <c r="M1541" t="s">
        <v>452</v>
      </c>
    </row>
    <row r="1542" spans="2:13" ht="12.75">
      <c r="B1542" t="str">
        <f t="shared" si="74"/>
        <v>5614</v>
      </c>
      <c r="C1542" t="s">
        <v>448</v>
      </c>
      <c r="D1542">
        <v>420222</v>
      </c>
      <c r="E1542" t="s">
        <v>60</v>
      </c>
      <c r="F1542">
        <v>400012</v>
      </c>
      <c r="G1542" t="s">
        <v>90</v>
      </c>
      <c r="H1542">
        <v>40</v>
      </c>
      <c r="I1542" t="s">
        <v>50</v>
      </c>
      <c r="J1542">
        <v>1</v>
      </c>
      <c r="K1542" s="4">
        <v>8000</v>
      </c>
      <c r="L1542" s="4">
        <v>8000</v>
      </c>
      <c r="M1542" t="s">
        <v>452</v>
      </c>
    </row>
    <row r="1543" spans="2:13" ht="12.75">
      <c r="B1543" t="str">
        <f t="shared" si="74"/>
        <v>5614</v>
      </c>
      <c r="C1543" t="s">
        <v>448</v>
      </c>
      <c r="D1543">
        <v>420222</v>
      </c>
      <c r="E1543" t="s">
        <v>60</v>
      </c>
      <c r="F1543">
        <v>400012</v>
      </c>
      <c r="G1543" t="s">
        <v>90</v>
      </c>
      <c r="H1543">
        <v>40</v>
      </c>
      <c r="I1543" t="s">
        <v>50</v>
      </c>
      <c r="J1543">
        <v>1</v>
      </c>
      <c r="K1543" s="4">
        <v>11500</v>
      </c>
      <c r="L1543" s="4">
        <v>11500</v>
      </c>
      <c r="M1543" t="s">
        <v>452</v>
      </c>
    </row>
    <row r="1544" spans="2:13" ht="12.75">
      <c r="B1544" t="str">
        <f t="shared" si="74"/>
        <v>5614</v>
      </c>
      <c r="C1544" t="s">
        <v>448</v>
      </c>
      <c r="D1544">
        <v>420248</v>
      </c>
      <c r="E1544" t="s">
        <v>36</v>
      </c>
      <c r="F1544">
        <v>400014</v>
      </c>
      <c r="G1544" t="s">
        <v>38</v>
      </c>
      <c r="H1544">
        <v>40</v>
      </c>
      <c r="I1544" t="s">
        <v>50</v>
      </c>
      <c r="J1544">
        <v>1</v>
      </c>
      <c r="K1544" s="4">
        <v>8000</v>
      </c>
      <c r="L1544" s="4">
        <v>8000</v>
      </c>
      <c r="M1544" t="s">
        <v>451</v>
      </c>
    </row>
    <row r="1545" spans="2:13" ht="12.75">
      <c r="B1545" t="str">
        <f t="shared" si="74"/>
        <v>5614</v>
      </c>
      <c r="C1545" t="s">
        <v>448</v>
      </c>
      <c r="D1545">
        <v>420248</v>
      </c>
      <c r="E1545" t="s">
        <v>36</v>
      </c>
      <c r="F1545">
        <v>400014</v>
      </c>
      <c r="G1545" t="s">
        <v>38</v>
      </c>
      <c r="H1545">
        <v>40</v>
      </c>
      <c r="I1545" t="s">
        <v>50</v>
      </c>
      <c r="J1545">
        <v>1</v>
      </c>
      <c r="K1545" s="4">
        <v>12500</v>
      </c>
      <c r="L1545" s="4">
        <v>12500</v>
      </c>
      <c r="M1545" t="s">
        <v>453</v>
      </c>
    </row>
    <row r="1546" spans="2:13" ht="12.75">
      <c r="B1546" t="str">
        <f t="shared" si="74"/>
        <v>5614</v>
      </c>
      <c r="C1546" t="s">
        <v>448</v>
      </c>
      <c r="D1546">
        <v>420249</v>
      </c>
      <c r="E1546" t="s">
        <v>39</v>
      </c>
      <c r="F1546">
        <v>400022</v>
      </c>
      <c r="G1546" t="s">
        <v>142</v>
      </c>
      <c r="H1546">
        <v>40</v>
      </c>
      <c r="I1546" t="s">
        <v>50</v>
      </c>
      <c r="J1546">
        <v>1</v>
      </c>
      <c r="K1546" s="4">
        <v>9500</v>
      </c>
      <c r="L1546" s="4">
        <v>9500</v>
      </c>
      <c r="M1546" t="s">
        <v>453</v>
      </c>
    </row>
    <row r="1547" spans="2:13" ht="12.75">
      <c r="B1547" t="str">
        <f t="shared" si="74"/>
        <v>5614</v>
      </c>
      <c r="C1547" t="s">
        <v>448</v>
      </c>
      <c r="D1547">
        <v>420703</v>
      </c>
      <c r="E1547" t="s">
        <v>51</v>
      </c>
      <c r="F1547">
        <v>310005</v>
      </c>
      <c r="G1547" t="s">
        <v>46</v>
      </c>
      <c r="H1547">
        <v>31</v>
      </c>
      <c r="I1547" t="s">
        <v>26</v>
      </c>
      <c r="J1547">
        <v>1</v>
      </c>
      <c r="K1547" s="4">
        <v>64000</v>
      </c>
      <c r="L1547" s="4">
        <v>64000</v>
      </c>
      <c r="M1547" t="s">
        <v>449</v>
      </c>
    </row>
    <row r="1548" spans="2:13" ht="12.75">
      <c r="B1548" t="str">
        <f t="shared" si="74"/>
        <v>5614</v>
      </c>
      <c r="C1548" t="s">
        <v>448</v>
      </c>
      <c r="D1548">
        <v>420703</v>
      </c>
      <c r="E1548" t="s">
        <v>51</v>
      </c>
      <c r="F1548">
        <v>310005</v>
      </c>
      <c r="G1548" t="s">
        <v>46</v>
      </c>
      <c r="H1548">
        <v>31</v>
      </c>
      <c r="I1548" t="s">
        <v>26</v>
      </c>
      <c r="J1548">
        <v>1</v>
      </c>
      <c r="K1548" s="4">
        <v>24000</v>
      </c>
      <c r="L1548" s="4">
        <v>24000</v>
      </c>
      <c r="M1548" t="s">
        <v>449</v>
      </c>
    </row>
    <row r="1549" spans="2:13" ht="12.75">
      <c r="B1549" t="str">
        <f t="shared" si="74"/>
        <v>5614</v>
      </c>
      <c r="C1549" t="s">
        <v>448</v>
      </c>
      <c r="D1549">
        <v>420703</v>
      </c>
      <c r="E1549" t="s">
        <v>51</v>
      </c>
      <c r="F1549">
        <v>310005</v>
      </c>
      <c r="G1549" t="s">
        <v>46</v>
      </c>
      <c r="H1549">
        <v>31</v>
      </c>
      <c r="I1549" t="s">
        <v>26</v>
      </c>
      <c r="J1549">
        <v>1</v>
      </c>
      <c r="K1549" s="4">
        <v>41000</v>
      </c>
      <c r="L1549" s="4">
        <v>41000</v>
      </c>
      <c r="M1549" t="s">
        <v>449</v>
      </c>
    </row>
    <row r="1550" spans="2:13" ht="12.75">
      <c r="B1550" t="str">
        <f t="shared" si="74"/>
        <v>5614</v>
      </c>
      <c r="C1550" t="s">
        <v>448</v>
      </c>
      <c r="D1550">
        <v>420703</v>
      </c>
      <c r="E1550" t="s">
        <v>51</v>
      </c>
      <c r="F1550">
        <v>310005</v>
      </c>
      <c r="G1550" t="s">
        <v>46</v>
      </c>
      <c r="H1550">
        <v>31</v>
      </c>
      <c r="I1550" t="s">
        <v>26</v>
      </c>
      <c r="J1550">
        <v>1</v>
      </c>
      <c r="K1550" s="4">
        <v>10000</v>
      </c>
      <c r="L1550" s="4">
        <v>10000</v>
      </c>
      <c r="M1550" t="s">
        <v>451</v>
      </c>
    </row>
    <row r="1551" spans="2:13" ht="12.75">
      <c r="B1551" t="str">
        <f t="shared" si="74"/>
        <v>5614</v>
      </c>
      <c r="C1551" t="s">
        <v>448</v>
      </c>
      <c r="D1551">
        <v>420703</v>
      </c>
      <c r="E1551" t="s">
        <v>51</v>
      </c>
      <c r="F1551">
        <v>310005</v>
      </c>
      <c r="G1551" t="s">
        <v>46</v>
      </c>
      <c r="H1551">
        <v>31</v>
      </c>
      <c r="I1551" t="s">
        <v>26</v>
      </c>
      <c r="J1551">
        <v>1</v>
      </c>
      <c r="K1551" s="4">
        <v>20450</v>
      </c>
      <c r="L1551" s="4">
        <v>20450</v>
      </c>
      <c r="M1551" t="s">
        <v>451</v>
      </c>
    </row>
    <row r="1552" spans="2:13" ht="12.75">
      <c r="B1552" t="str">
        <f t="shared" si="74"/>
        <v>5614</v>
      </c>
      <c r="C1552" t="s">
        <v>448</v>
      </c>
      <c r="D1552">
        <v>420703</v>
      </c>
      <c r="E1552" t="s">
        <v>51</v>
      </c>
      <c r="F1552">
        <v>310005</v>
      </c>
      <c r="G1552" t="s">
        <v>46</v>
      </c>
      <c r="H1552">
        <v>31</v>
      </c>
      <c r="I1552" t="s">
        <v>26</v>
      </c>
      <c r="J1552">
        <v>1</v>
      </c>
      <c r="K1552" s="4">
        <v>45000</v>
      </c>
      <c r="L1552" s="4">
        <v>45000</v>
      </c>
      <c r="M1552" t="s">
        <v>451</v>
      </c>
    </row>
    <row r="1553" spans="2:13" ht="12.75">
      <c r="B1553" t="str">
        <f t="shared" si="74"/>
        <v>5614</v>
      </c>
      <c r="C1553" t="s">
        <v>448</v>
      </c>
      <c r="D1553">
        <v>420703</v>
      </c>
      <c r="E1553" t="s">
        <v>51</v>
      </c>
      <c r="F1553">
        <v>310005</v>
      </c>
      <c r="G1553" t="s">
        <v>46</v>
      </c>
      <c r="H1553">
        <v>31</v>
      </c>
      <c r="I1553" t="s">
        <v>26</v>
      </c>
      <c r="J1553">
        <v>1</v>
      </c>
      <c r="K1553" s="4">
        <v>38000</v>
      </c>
      <c r="L1553" s="4">
        <v>38000</v>
      </c>
      <c r="M1553" t="s">
        <v>453</v>
      </c>
    </row>
    <row r="1554" spans="2:13" ht="12.75">
      <c r="B1554" t="str">
        <f t="shared" si="74"/>
        <v>5614</v>
      </c>
      <c r="C1554" t="s">
        <v>448</v>
      </c>
      <c r="D1554">
        <v>420703</v>
      </c>
      <c r="E1554" t="s">
        <v>51</v>
      </c>
      <c r="F1554">
        <v>310005</v>
      </c>
      <c r="G1554" t="s">
        <v>46</v>
      </c>
      <c r="H1554">
        <v>31</v>
      </c>
      <c r="I1554" t="s">
        <v>26</v>
      </c>
      <c r="J1554">
        <v>1</v>
      </c>
      <c r="K1554" s="4">
        <v>12000</v>
      </c>
      <c r="L1554" s="4">
        <v>12000</v>
      </c>
      <c r="M1554" t="s">
        <v>452</v>
      </c>
    </row>
    <row r="1555" spans="2:13" ht="12.75">
      <c r="B1555" t="str">
        <f t="shared" si="74"/>
        <v>5614</v>
      </c>
      <c r="C1555" t="s">
        <v>448</v>
      </c>
      <c r="D1555">
        <v>420703</v>
      </c>
      <c r="E1555" t="s">
        <v>51</v>
      </c>
      <c r="F1555">
        <v>310009</v>
      </c>
      <c r="G1555" t="s">
        <v>25</v>
      </c>
      <c r="H1555">
        <v>31</v>
      </c>
      <c r="I1555" t="s">
        <v>26</v>
      </c>
      <c r="J1555">
        <v>1</v>
      </c>
      <c r="K1555" s="4">
        <v>220000</v>
      </c>
      <c r="L1555" s="4">
        <v>220000</v>
      </c>
      <c r="M1555" t="s">
        <v>449</v>
      </c>
    </row>
    <row r="1556" spans="2:13" ht="12.75">
      <c r="B1556" t="str">
        <f t="shared" si="74"/>
        <v>5614</v>
      </c>
      <c r="C1556" t="s">
        <v>448</v>
      </c>
      <c r="D1556">
        <v>420703</v>
      </c>
      <c r="E1556" t="s">
        <v>51</v>
      </c>
      <c r="F1556">
        <v>310009</v>
      </c>
      <c r="G1556" t="s">
        <v>25</v>
      </c>
      <c r="H1556">
        <v>31</v>
      </c>
      <c r="I1556" t="s">
        <v>26</v>
      </c>
      <c r="J1556">
        <v>1</v>
      </c>
      <c r="K1556" s="4">
        <v>11500</v>
      </c>
      <c r="L1556" s="4">
        <v>11500</v>
      </c>
      <c r="M1556" t="s">
        <v>453</v>
      </c>
    </row>
    <row r="1557" spans="2:13" ht="12.75">
      <c r="B1557" t="str">
        <f t="shared" si="74"/>
        <v>5614</v>
      </c>
      <c r="C1557" t="s">
        <v>448</v>
      </c>
      <c r="D1557">
        <v>420806</v>
      </c>
      <c r="E1557" t="s">
        <v>122</v>
      </c>
      <c r="F1557">
        <v>380001</v>
      </c>
      <c r="G1557" t="s">
        <v>25</v>
      </c>
      <c r="H1557">
        <v>38</v>
      </c>
      <c r="I1557" t="s">
        <v>264</v>
      </c>
      <c r="J1557">
        <v>1</v>
      </c>
      <c r="K1557" s="4">
        <v>12000</v>
      </c>
      <c r="L1557" s="4">
        <v>12000</v>
      </c>
      <c r="M1557" t="s">
        <v>451</v>
      </c>
    </row>
    <row r="1558" spans="2:13" ht="12.75">
      <c r="B1558" t="str">
        <f aca="true" t="shared" si="75" ref="B1558:B1592">"5616"</f>
        <v>5616</v>
      </c>
      <c r="C1558" t="s">
        <v>456</v>
      </c>
      <c r="D1558">
        <v>402510</v>
      </c>
      <c r="E1558" t="s">
        <v>12</v>
      </c>
      <c r="F1558">
        <v>350003</v>
      </c>
      <c r="G1558" t="s">
        <v>44</v>
      </c>
      <c r="H1558">
        <v>35</v>
      </c>
      <c r="I1558" t="s">
        <v>17</v>
      </c>
      <c r="J1558">
        <v>1</v>
      </c>
      <c r="K1558" s="4">
        <v>64577</v>
      </c>
      <c r="L1558" s="4">
        <v>64577</v>
      </c>
      <c r="M1558">
        <v>1521</v>
      </c>
    </row>
    <row r="1559" spans="2:13" ht="12.75">
      <c r="B1559" t="str">
        <f t="shared" si="75"/>
        <v>5616</v>
      </c>
      <c r="C1559" t="s">
        <v>456</v>
      </c>
      <c r="D1559">
        <v>402510</v>
      </c>
      <c r="E1559" t="s">
        <v>12</v>
      </c>
      <c r="F1559">
        <v>350004</v>
      </c>
      <c r="G1559" t="s">
        <v>188</v>
      </c>
      <c r="H1559">
        <v>35</v>
      </c>
      <c r="I1559" t="s">
        <v>17</v>
      </c>
      <c r="J1559">
        <v>1</v>
      </c>
      <c r="K1559" s="4">
        <v>3429161.37</v>
      </c>
      <c r="L1559" s="4">
        <v>3429161.37</v>
      </c>
      <c r="M1559">
        <v>1521</v>
      </c>
    </row>
    <row r="1560" spans="2:13" ht="12.75">
      <c r="B1560" t="str">
        <f t="shared" si="75"/>
        <v>5616</v>
      </c>
      <c r="C1560" t="s">
        <v>456</v>
      </c>
      <c r="D1560">
        <v>402513</v>
      </c>
      <c r="E1560" t="s">
        <v>85</v>
      </c>
      <c r="F1560">
        <v>410005</v>
      </c>
      <c r="G1560" t="s">
        <v>190</v>
      </c>
      <c r="H1560">
        <v>41</v>
      </c>
      <c r="I1560" t="s">
        <v>14</v>
      </c>
      <c r="J1560">
        <v>1</v>
      </c>
      <c r="K1560" s="4">
        <v>163148.42</v>
      </c>
      <c r="L1560" s="4">
        <v>163148.42</v>
      </c>
      <c r="M1560">
        <v>1521</v>
      </c>
    </row>
    <row r="1561" spans="2:13" ht="12.75">
      <c r="B1561" t="str">
        <f t="shared" si="75"/>
        <v>5616</v>
      </c>
      <c r="C1561" t="s">
        <v>456</v>
      </c>
      <c r="D1561">
        <v>402515</v>
      </c>
      <c r="E1561" t="s">
        <v>15</v>
      </c>
      <c r="F1561">
        <v>350008</v>
      </c>
      <c r="G1561" t="s">
        <v>127</v>
      </c>
      <c r="H1561">
        <v>35</v>
      </c>
      <c r="I1561" t="s">
        <v>17</v>
      </c>
      <c r="J1561">
        <v>1</v>
      </c>
      <c r="K1561" s="4">
        <v>36643</v>
      </c>
      <c r="L1561" s="4">
        <v>36643</v>
      </c>
      <c r="M1561">
        <v>1521</v>
      </c>
    </row>
    <row r="1562" spans="2:13" ht="12.75">
      <c r="B1562" t="str">
        <f t="shared" si="75"/>
        <v>5616</v>
      </c>
      <c r="C1562" t="s">
        <v>456</v>
      </c>
      <c r="D1562">
        <v>402516</v>
      </c>
      <c r="E1562" t="s">
        <v>109</v>
      </c>
      <c r="F1562">
        <v>350002</v>
      </c>
      <c r="G1562" t="s">
        <v>88</v>
      </c>
      <c r="H1562">
        <v>35</v>
      </c>
      <c r="I1562" t="s">
        <v>17</v>
      </c>
      <c r="J1562">
        <v>1</v>
      </c>
      <c r="K1562" s="4">
        <v>16016.72</v>
      </c>
      <c r="L1562" s="4">
        <v>16016.72</v>
      </c>
      <c r="M1562">
        <v>1521</v>
      </c>
    </row>
    <row r="1563" spans="2:13" ht="12.75">
      <c r="B1563" t="str">
        <f t="shared" si="75"/>
        <v>5616</v>
      </c>
      <c r="C1563" t="s">
        <v>456</v>
      </c>
      <c r="D1563">
        <v>402516</v>
      </c>
      <c r="E1563" t="s">
        <v>109</v>
      </c>
      <c r="F1563">
        <v>350002</v>
      </c>
      <c r="G1563" t="s">
        <v>88</v>
      </c>
      <c r="H1563">
        <v>35</v>
      </c>
      <c r="I1563" t="s">
        <v>17</v>
      </c>
      <c r="J1563">
        <v>1</v>
      </c>
      <c r="K1563" s="4">
        <v>386.04</v>
      </c>
      <c r="L1563" s="4">
        <v>386.04</v>
      </c>
      <c r="M1563">
        <v>1521</v>
      </c>
    </row>
    <row r="1564" spans="2:13" ht="12.75">
      <c r="B1564" t="str">
        <f t="shared" si="75"/>
        <v>5616</v>
      </c>
      <c r="C1564" t="s">
        <v>456</v>
      </c>
      <c r="D1564">
        <v>402516</v>
      </c>
      <c r="E1564" t="s">
        <v>109</v>
      </c>
      <c r="F1564">
        <v>350002</v>
      </c>
      <c r="G1564" t="s">
        <v>88</v>
      </c>
      <c r="H1564">
        <v>35</v>
      </c>
      <c r="I1564" t="s">
        <v>17</v>
      </c>
      <c r="J1564">
        <v>1</v>
      </c>
      <c r="K1564" s="4">
        <v>66385.36</v>
      </c>
      <c r="L1564" s="4">
        <v>66385.36</v>
      </c>
      <c r="M1564">
        <v>1521</v>
      </c>
    </row>
    <row r="1565" spans="2:13" ht="12.75">
      <c r="B1565" t="str">
        <f t="shared" si="75"/>
        <v>5616</v>
      </c>
      <c r="C1565" t="s">
        <v>456</v>
      </c>
      <c r="D1565">
        <v>402516</v>
      </c>
      <c r="E1565" t="s">
        <v>109</v>
      </c>
      <c r="F1565">
        <v>350002</v>
      </c>
      <c r="G1565" t="s">
        <v>88</v>
      </c>
      <c r="H1565">
        <v>35</v>
      </c>
      <c r="I1565" t="s">
        <v>17</v>
      </c>
      <c r="J1565">
        <v>1</v>
      </c>
      <c r="K1565" s="4">
        <v>129460.89</v>
      </c>
      <c r="L1565" s="4">
        <v>129460.89</v>
      </c>
      <c r="M1565">
        <v>1521</v>
      </c>
    </row>
    <row r="1566" spans="2:13" ht="12.75">
      <c r="B1566" t="str">
        <f t="shared" si="75"/>
        <v>5616</v>
      </c>
      <c r="C1566" t="s">
        <v>456</v>
      </c>
      <c r="D1566">
        <v>402608</v>
      </c>
      <c r="E1566" t="s">
        <v>178</v>
      </c>
      <c r="F1566">
        <v>350003</v>
      </c>
      <c r="G1566" t="s">
        <v>44</v>
      </c>
      <c r="H1566">
        <v>35</v>
      </c>
      <c r="I1566" t="s">
        <v>17</v>
      </c>
      <c r="J1566">
        <v>1</v>
      </c>
      <c r="K1566" s="4">
        <v>100600.98</v>
      </c>
      <c r="L1566" s="4">
        <v>100600.98</v>
      </c>
      <c r="M1566">
        <v>1521</v>
      </c>
    </row>
    <row r="1567" spans="2:13" ht="12.75">
      <c r="B1567" t="str">
        <f t="shared" si="75"/>
        <v>5616</v>
      </c>
      <c r="C1567" t="s">
        <v>456</v>
      </c>
      <c r="D1567">
        <v>402608</v>
      </c>
      <c r="E1567" t="s">
        <v>178</v>
      </c>
      <c r="F1567">
        <v>350003</v>
      </c>
      <c r="G1567" t="s">
        <v>44</v>
      </c>
      <c r="H1567">
        <v>35</v>
      </c>
      <c r="I1567" t="s">
        <v>17</v>
      </c>
      <c r="J1567">
        <v>1</v>
      </c>
      <c r="K1567" s="4">
        <v>7406.7</v>
      </c>
      <c r="L1567" s="4">
        <v>7406.7</v>
      </c>
      <c r="M1567">
        <v>1521</v>
      </c>
    </row>
    <row r="1568" spans="2:13" ht="12.75">
      <c r="B1568" t="str">
        <f t="shared" si="75"/>
        <v>5616</v>
      </c>
      <c r="C1568" t="s">
        <v>456</v>
      </c>
      <c r="D1568">
        <v>402608</v>
      </c>
      <c r="E1568" t="s">
        <v>178</v>
      </c>
      <c r="F1568">
        <v>350003</v>
      </c>
      <c r="G1568" t="s">
        <v>44</v>
      </c>
      <c r="H1568">
        <v>35</v>
      </c>
      <c r="I1568" t="s">
        <v>17</v>
      </c>
      <c r="J1568">
        <v>1</v>
      </c>
      <c r="K1568" s="4">
        <v>4668692.97</v>
      </c>
      <c r="L1568" s="4">
        <v>4668692.97</v>
      </c>
      <c r="M1568">
        <v>1521</v>
      </c>
    </row>
    <row r="1569" spans="2:13" ht="12.75">
      <c r="B1569" t="str">
        <f t="shared" si="75"/>
        <v>5616</v>
      </c>
      <c r="C1569" t="s">
        <v>456</v>
      </c>
      <c r="D1569">
        <v>402608</v>
      </c>
      <c r="E1569" t="s">
        <v>178</v>
      </c>
      <c r="F1569">
        <v>350003</v>
      </c>
      <c r="G1569" t="s">
        <v>44</v>
      </c>
      <c r="H1569">
        <v>35</v>
      </c>
      <c r="I1569" t="s">
        <v>17</v>
      </c>
      <c r="J1569">
        <v>1</v>
      </c>
      <c r="K1569" s="4">
        <v>230060.87</v>
      </c>
      <c r="L1569" s="4">
        <v>230060.87</v>
      </c>
      <c r="M1569">
        <v>1521</v>
      </c>
    </row>
    <row r="1570" spans="2:13" ht="12.75">
      <c r="B1570" t="str">
        <f t="shared" si="75"/>
        <v>5616</v>
      </c>
      <c r="C1570" t="s">
        <v>456</v>
      </c>
      <c r="D1570">
        <v>402608</v>
      </c>
      <c r="E1570" t="s">
        <v>178</v>
      </c>
      <c r="F1570">
        <v>350003</v>
      </c>
      <c r="G1570" t="s">
        <v>44</v>
      </c>
      <c r="H1570">
        <v>35</v>
      </c>
      <c r="I1570" t="s">
        <v>17</v>
      </c>
      <c r="J1570">
        <v>1</v>
      </c>
      <c r="K1570" s="4">
        <v>950690</v>
      </c>
      <c r="L1570" s="4">
        <v>950690</v>
      </c>
      <c r="M1570" t="s">
        <v>457</v>
      </c>
    </row>
    <row r="1571" spans="2:13" ht="12.75">
      <c r="B1571" t="str">
        <f t="shared" si="75"/>
        <v>5616</v>
      </c>
      <c r="C1571" t="s">
        <v>456</v>
      </c>
      <c r="D1571">
        <v>420202</v>
      </c>
      <c r="E1571" t="s">
        <v>19</v>
      </c>
      <c r="F1571">
        <v>400023</v>
      </c>
      <c r="G1571" t="s">
        <v>94</v>
      </c>
      <c r="H1571">
        <v>40</v>
      </c>
      <c r="I1571" t="s">
        <v>50</v>
      </c>
      <c r="J1571">
        <v>1</v>
      </c>
      <c r="K1571" s="4">
        <v>6000</v>
      </c>
      <c r="L1571" s="4">
        <v>6000</v>
      </c>
      <c r="M1571" t="s">
        <v>458</v>
      </c>
    </row>
    <row r="1572" spans="2:13" ht="12.75">
      <c r="B1572" t="str">
        <f t="shared" si="75"/>
        <v>5616</v>
      </c>
      <c r="C1572" t="s">
        <v>456</v>
      </c>
      <c r="D1572">
        <v>420202</v>
      </c>
      <c r="E1572" t="s">
        <v>19</v>
      </c>
      <c r="F1572">
        <v>400023</v>
      </c>
      <c r="G1572" t="s">
        <v>94</v>
      </c>
      <c r="H1572">
        <v>40</v>
      </c>
      <c r="I1572" t="s">
        <v>50</v>
      </c>
      <c r="J1572">
        <v>1</v>
      </c>
      <c r="K1572" s="4">
        <v>4500</v>
      </c>
      <c r="L1572" s="4">
        <v>4500</v>
      </c>
      <c r="M1572" t="s">
        <v>458</v>
      </c>
    </row>
    <row r="1573" spans="2:13" ht="12.75">
      <c r="B1573" t="str">
        <f t="shared" si="75"/>
        <v>5616</v>
      </c>
      <c r="C1573" t="s">
        <v>456</v>
      </c>
      <c r="D1573">
        <v>420222</v>
      </c>
      <c r="E1573" t="s">
        <v>60</v>
      </c>
      <c r="F1573">
        <v>400012</v>
      </c>
      <c r="G1573" t="s">
        <v>90</v>
      </c>
      <c r="H1573">
        <v>40</v>
      </c>
      <c r="I1573" t="s">
        <v>50</v>
      </c>
      <c r="J1573">
        <v>1</v>
      </c>
      <c r="K1573" s="4">
        <v>2000</v>
      </c>
      <c r="L1573" s="4">
        <v>2000</v>
      </c>
      <c r="M1573" t="s">
        <v>458</v>
      </c>
    </row>
    <row r="1574" spans="2:13" ht="12.75">
      <c r="B1574" t="str">
        <f t="shared" si="75"/>
        <v>5616</v>
      </c>
      <c r="C1574" t="s">
        <v>456</v>
      </c>
      <c r="D1574">
        <v>420222</v>
      </c>
      <c r="E1574" t="s">
        <v>60</v>
      </c>
      <c r="F1574">
        <v>400012</v>
      </c>
      <c r="G1574" t="s">
        <v>90</v>
      </c>
      <c r="H1574">
        <v>40</v>
      </c>
      <c r="I1574" t="s">
        <v>50</v>
      </c>
      <c r="J1574">
        <v>1</v>
      </c>
      <c r="K1574" s="4">
        <v>12000</v>
      </c>
      <c r="L1574" s="4">
        <v>12000</v>
      </c>
      <c r="M1574" t="s">
        <v>458</v>
      </c>
    </row>
    <row r="1575" spans="2:13" ht="12.75">
      <c r="B1575" t="str">
        <f t="shared" si="75"/>
        <v>5616</v>
      </c>
      <c r="C1575" t="s">
        <v>456</v>
      </c>
      <c r="D1575">
        <v>420222</v>
      </c>
      <c r="E1575" t="s">
        <v>60</v>
      </c>
      <c r="F1575">
        <v>400012</v>
      </c>
      <c r="G1575" t="s">
        <v>90</v>
      </c>
      <c r="H1575">
        <v>40</v>
      </c>
      <c r="I1575" t="s">
        <v>50</v>
      </c>
      <c r="J1575">
        <v>1</v>
      </c>
      <c r="K1575" s="4">
        <v>4000</v>
      </c>
      <c r="L1575" s="4">
        <v>4000</v>
      </c>
      <c r="M1575" t="s">
        <v>458</v>
      </c>
    </row>
    <row r="1576" spans="2:13" ht="12.75">
      <c r="B1576" t="str">
        <f t="shared" si="75"/>
        <v>5616</v>
      </c>
      <c r="C1576" t="s">
        <v>456</v>
      </c>
      <c r="D1576">
        <v>420248</v>
      </c>
      <c r="E1576" t="s">
        <v>36</v>
      </c>
      <c r="F1576">
        <v>400014</v>
      </c>
      <c r="G1576" t="s">
        <v>38</v>
      </c>
      <c r="H1576">
        <v>40</v>
      </c>
      <c r="I1576" t="s">
        <v>50</v>
      </c>
      <c r="J1576">
        <v>1</v>
      </c>
      <c r="K1576" s="4">
        <v>75000</v>
      </c>
      <c r="L1576" s="4">
        <v>75000</v>
      </c>
      <c r="M1576" t="s">
        <v>459</v>
      </c>
    </row>
    <row r="1577" spans="2:13" ht="12.75">
      <c r="B1577" t="str">
        <f t="shared" si="75"/>
        <v>5616</v>
      </c>
      <c r="C1577" t="s">
        <v>456</v>
      </c>
      <c r="D1577">
        <v>420248</v>
      </c>
      <c r="E1577" t="s">
        <v>36</v>
      </c>
      <c r="F1577">
        <v>400014</v>
      </c>
      <c r="G1577" t="s">
        <v>38</v>
      </c>
      <c r="H1577">
        <v>40</v>
      </c>
      <c r="I1577" t="s">
        <v>50</v>
      </c>
      <c r="J1577">
        <v>1</v>
      </c>
      <c r="K1577" s="4">
        <v>12000</v>
      </c>
      <c r="L1577" s="4">
        <v>12000</v>
      </c>
      <c r="M1577" t="s">
        <v>459</v>
      </c>
    </row>
    <row r="1578" spans="2:13" ht="12.75">
      <c r="B1578" t="str">
        <f t="shared" si="75"/>
        <v>5616</v>
      </c>
      <c r="C1578" t="s">
        <v>456</v>
      </c>
      <c r="D1578">
        <v>420248</v>
      </c>
      <c r="E1578" t="s">
        <v>36</v>
      </c>
      <c r="F1578">
        <v>400014</v>
      </c>
      <c r="G1578" t="s">
        <v>38</v>
      </c>
      <c r="H1578">
        <v>40</v>
      </c>
      <c r="I1578" t="s">
        <v>50</v>
      </c>
      <c r="J1578">
        <v>1</v>
      </c>
      <c r="K1578" s="4">
        <v>42000</v>
      </c>
      <c r="L1578" s="4">
        <v>42000</v>
      </c>
      <c r="M1578" t="s">
        <v>459</v>
      </c>
    </row>
    <row r="1579" spans="2:13" ht="12.75">
      <c r="B1579" t="str">
        <f t="shared" si="75"/>
        <v>5616</v>
      </c>
      <c r="C1579" t="s">
        <v>456</v>
      </c>
      <c r="D1579">
        <v>420248</v>
      </c>
      <c r="E1579" t="s">
        <v>36</v>
      </c>
      <c r="F1579">
        <v>400014</v>
      </c>
      <c r="G1579" t="s">
        <v>38</v>
      </c>
      <c r="H1579">
        <v>40</v>
      </c>
      <c r="I1579" t="s">
        <v>50</v>
      </c>
      <c r="J1579">
        <v>1</v>
      </c>
      <c r="K1579" s="4">
        <v>270000</v>
      </c>
      <c r="L1579" s="4">
        <v>270000</v>
      </c>
      <c r="M1579" t="s">
        <v>459</v>
      </c>
    </row>
    <row r="1580" spans="2:13" ht="12.75">
      <c r="B1580" t="str">
        <f t="shared" si="75"/>
        <v>5616</v>
      </c>
      <c r="C1580" t="s">
        <v>456</v>
      </c>
      <c r="D1580">
        <v>420248</v>
      </c>
      <c r="E1580" t="s">
        <v>36</v>
      </c>
      <c r="F1580">
        <v>400014</v>
      </c>
      <c r="G1580" t="s">
        <v>38</v>
      </c>
      <c r="H1580">
        <v>40</v>
      </c>
      <c r="I1580" t="s">
        <v>50</v>
      </c>
      <c r="J1580">
        <v>1</v>
      </c>
      <c r="K1580" s="4">
        <v>49000</v>
      </c>
      <c r="L1580" s="4">
        <v>49000</v>
      </c>
      <c r="M1580" t="s">
        <v>459</v>
      </c>
    </row>
    <row r="1581" spans="2:13" ht="12.75">
      <c r="B1581" t="str">
        <f t="shared" si="75"/>
        <v>5616</v>
      </c>
      <c r="C1581" t="s">
        <v>456</v>
      </c>
      <c r="D1581">
        <v>420248</v>
      </c>
      <c r="E1581" t="s">
        <v>36</v>
      </c>
      <c r="F1581">
        <v>400014</v>
      </c>
      <c r="G1581" t="s">
        <v>38</v>
      </c>
      <c r="H1581">
        <v>40</v>
      </c>
      <c r="I1581" t="s">
        <v>50</v>
      </c>
      <c r="J1581">
        <v>1</v>
      </c>
      <c r="K1581" s="4">
        <v>24000</v>
      </c>
      <c r="L1581" s="4">
        <v>24000</v>
      </c>
      <c r="M1581" t="s">
        <v>459</v>
      </c>
    </row>
    <row r="1582" spans="2:13" ht="12.75">
      <c r="B1582" t="str">
        <f t="shared" si="75"/>
        <v>5616</v>
      </c>
      <c r="C1582" t="s">
        <v>456</v>
      </c>
      <c r="D1582">
        <v>420248</v>
      </c>
      <c r="E1582" t="s">
        <v>36</v>
      </c>
      <c r="F1582">
        <v>400014</v>
      </c>
      <c r="G1582" t="s">
        <v>38</v>
      </c>
      <c r="H1582">
        <v>40</v>
      </c>
      <c r="I1582" t="s">
        <v>50</v>
      </c>
      <c r="J1582">
        <v>1</v>
      </c>
      <c r="K1582" s="4">
        <v>470000</v>
      </c>
      <c r="L1582" s="4">
        <v>470000</v>
      </c>
      <c r="M1582" t="s">
        <v>458</v>
      </c>
    </row>
    <row r="1583" spans="2:13" ht="12.75">
      <c r="B1583" t="str">
        <f t="shared" si="75"/>
        <v>5616</v>
      </c>
      <c r="C1583" t="s">
        <v>456</v>
      </c>
      <c r="D1583">
        <v>420248</v>
      </c>
      <c r="E1583" t="s">
        <v>36</v>
      </c>
      <c r="F1583">
        <v>400014</v>
      </c>
      <c r="G1583" t="s">
        <v>38</v>
      </c>
      <c r="H1583">
        <v>40</v>
      </c>
      <c r="I1583" t="s">
        <v>50</v>
      </c>
      <c r="J1583">
        <v>1</v>
      </c>
      <c r="K1583" s="4">
        <v>20000</v>
      </c>
      <c r="L1583" s="4">
        <v>20000</v>
      </c>
      <c r="M1583" t="s">
        <v>458</v>
      </c>
    </row>
    <row r="1584" spans="2:13" ht="12.75">
      <c r="B1584" t="str">
        <f t="shared" si="75"/>
        <v>5616</v>
      </c>
      <c r="C1584" t="s">
        <v>456</v>
      </c>
      <c r="D1584">
        <v>420249</v>
      </c>
      <c r="E1584" t="s">
        <v>39</v>
      </c>
      <c r="F1584">
        <v>400022</v>
      </c>
      <c r="G1584" t="s">
        <v>142</v>
      </c>
      <c r="H1584">
        <v>40</v>
      </c>
      <c r="I1584" t="s">
        <v>50</v>
      </c>
      <c r="J1584">
        <v>1</v>
      </c>
      <c r="K1584" s="4">
        <v>24000</v>
      </c>
      <c r="L1584" s="4">
        <v>24000</v>
      </c>
      <c r="M1584" t="s">
        <v>459</v>
      </c>
    </row>
    <row r="1585" spans="2:13" ht="12.75">
      <c r="B1585" t="str">
        <f t="shared" si="75"/>
        <v>5616</v>
      </c>
      <c r="C1585" t="s">
        <v>456</v>
      </c>
      <c r="D1585">
        <v>420703</v>
      </c>
      <c r="E1585" t="s">
        <v>51</v>
      </c>
      <c r="F1585">
        <v>310005</v>
      </c>
      <c r="G1585" t="s">
        <v>46</v>
      </c>
      <c r="H1585">
        <v>31</v>
      </c>
      <c r="I1585" t="s">
        <v>26</v>
      </c>
      <c r="J1585">
        <v>1</v>
      </c>
      <c r="K1585" s="4">
        <v>38000</v>
      </c>
      <c r="L1585" s="4">
        <v>38000</v>
      </c>
      <c r="M1585" t="s">
        <v>459</v>
      </c>
    </row>
    <row r="1586" spans="2:13" ht="12.75">
      <c r="B1586" t="str">
        <f t="shared" si="75"/>
        <v>5616</v>
      </c>
      <c r="C1586" t="s">
        <v>456</v>
      </c>
      <c r="D1586">
        <v>420703</v>
      </c>
      <c r="E1586" t="s">
        <v>51</v>
      </c>
      <c r="F1586">
        <v>310005</v>
      </c>
      <c r="G1586" t="s">
        <v>46</v>
      </c>
      <c r="H1586">
        <v>31</v>
      </c>
      <c r="I1586" t="s">
        <v>26</v>
      </c>
      <c r="J1586">
        <v>1</v>
      </c>
      <c r="K1586" s="4">
        <v>32000</v>
      </c>
      <c r="L1586" s="4">
        <v>32000</v>
      </c>
      <c r="M1586" t="s">
        <v>459</v>
      </c>
    </row>
    <row r="1587" spans="2:13" ht="12.75">
      <c r="B1587" t="str">
        <f t="shared" si="75"/>
        <v>5616</v>
      </c>
      <c r="C1587" t="s">
        <v>456</v>
      </c>
      <c r="D1587">
        <v>420703</v>
      </c>
      <c r="E1587" t="s">
        <v>51</v>
      </c>
      <c r="F1587">
        <v>310005</v>
      </c>
      <c r="G1587" t="s">
        <v>46</v>
      </c>
      <c r="H1587">
        <v>31</v>
      </c>
      <c r="I1587" t="s">
        <v>26</v>
      </c>
      <c r="J1587">
        <v>1</v>
      </c>
      <c r="K1587" s="4">
        <v>16000</v>
      </c>
      <c r="L1587" s="4">
        <v>16000</v>
      </c>
      <c r="M1587" t="s">
        <v>458</v>
      </c>
    </row>
    <row r="1588" spans="2:13" ht="12.75">
      <c r="B1588" t="str">
        <f t="shared" si="75"/>
        <v>5616</v>
      </c>
      <c r="C1588" t="s">
        <v>456</v>
      </c>
      <c r="D1588">
        <v>420703</v>
      </c>
      <c r="E1588" t="s">
        <v>51</v>
      </c>
      <c r="F1588">
        <v>310005</v>
      </c>
      <c r="G1588" t="s">
        <v>46</v>
      </c>
      <c r="H1588">
        <v>31</v>
      </c>
      <c r="I1588" t="s">
        <v>26</v>
      </c>
      <c r="J1588">
        <v>1</v>
      </c>
      <c r="K1588" s="4">
        <v>12000</v>
      </c>
      <c r="L1588" s="4">
        <v>12000</v>
      </c>
      <c r="M1588" t="s">
        <v>458</v>
      </c>
    </row>
    <row r="1589" spans="2:13" ht="12.75">
      <c r="B1589" t="str">
        <f t="shared" si="75"/>
        <v>5616</v>
      </c>
      <c r="C1589" t="s">
        <v>456</v>
      </c>
      <c r="D1589">
        <v>420703</v>
      </c>
      <c r="E1589" t="s">
        <v>51</v>
      </c>
      <c r="F1589">
        <v>310005</v>
      </c>
      <c r="G1589" t="s">
        <v>46</v>
      </c>
      <c r="H1589">
        <v>31</v>
      </c>
      <c r="I1589" t="s">
        <v>26</v>
      </c>
      <c r="J1589">
        <v>1</v>
      </c>
      <c r="K1589" s="4">
        <v>14000</v>
      </c>
      <c r="L1589" s="4">
        <v>14000</v>
      </c>
      <c r="M1589" t="s">
        <v>458</v>
      </c>
    </row>
    <row r="1590" spans="2:13" ht="12.75">
      <c r="B1590" t="str">
        <f t="shared" si="75"/>
        <v>5616</v>
      </c>
      <c r="C1590" t="s">
        <v>456</v>
      </c>
      <c r="D1590">
        <v>420703</v>
      </c>
      <c r="E1590" t="s">
        <v>51</v>
      </c>
      <c r="F1590">
        <v>310005</v>
      </c>
      <c r="G1590" t="s">
        <v>46</v>
      </c>
      <c r="H1590">
        <v>31</v>
      </c>
      <c r="I1590" t="s">
        <v>26</v>
      </c>
      <c r="J1590">
        <v>1</v>
      </c>
      <c r="K1590" s="4">
        <v>16000</v>
      </c>
      <c r="L1590" s="4">
        <v>16000</v>
      </c>
      <c r="M1590" t="s">
        <v>458</v>
      </c>
    </row>
    <row r="1591" spans="2:13" ht="12.75">
      <c r="B1591" t="str">
        <f t="shared" si="75"/>
        <v>5616</v>
      </c>
      <c r="C1591" t="s">
        <v>456</v>
      </c>
      <c r="D1591">
        <v>420703</v>
      </c>
      <c r="E1591" t="s">
        <v>51</v>
      </c>
      <c r="F1591">
        <v>310005</v>
      </c>
      <c r="G1591" t="s">
        <v>46</v>
      </c>
      <c r="H1591">
        <v>31</v>
      </c>
      <c r="I1591" t="s">
        <v>26</v>
      </c>
      <c r="J1591">
        <v>1</v>
      </c>
      <c r="K1591" s="4">
        <v>42000</v>
      </c>
      <c r="L1591" s="4">
        <v>42000</v>
      </c>
      <c r="M1591" t="s">
        <v>458</v>
      </c>
    </row>
    <row r="1592" spans="2:13" ht="12.75">
      <c r="B1592" t="str">
        <f t="shared" si="75"/>
        <v>5616</v>
      </c>
      <c r="C1592" t="s">
        <v>456</v>
      </c>
      <c r="D1592">
        <v>420806</v>
      </c>
      <c r="E1592" t="s">
        <v>122</v>
      </c>
      <c r="F1592">
        <v>380001</v>
      </c>
      <c r="G1592" t="s">
        <v>25</v>
      </c>
      <c r="H1592">
        <v>38</v>
      </c>
      <c r="I1592" t="s">
        <v>264</v>
      </c>
      <c r="J1592">
        <v>1</v>
      </c>
      <c r="K1592" s="4">
        <v>64000</v>
      </c>
      <c r="L1592" s="4">
        <v>64000</v>
      </c>
      <c r="M1592" t="s">
        <v>459</v>
      </c>
    </row>
    <row r="1593" spans="2:13" ht="12.75">
      <c r="B1593" t="str">
        <f aca="true" t="shared" si="76" ref="B1593:B1604">"5618"</f>
        <v>5618</v>
      </c>
      <c r="C1593" t="s">
        <v>460</v>
      </c>
      <c r="D1593">
        <v>402510</v>
      </c>
      <c r="E1593" t="s">
        <v>12</v>
      </c>
      <c r="F1593">
        <v>10004</v>
      </c>
      <c r="G1593" t="s">
        <v>25</v>
      </c>
      <c r="H1593">
        <v>1</v>
      </c>
      <c r="I1593" t="s">
        <v>21</v>
      </c>
      <c r="J1593">
        <v>1</v>
      </c>
      <c r="K1593" s="4">
        <v>2409.96</v>
      </c>
      <c r="L1593" s="4">
        <v>2409.96</v>
      </c>
      <c r="M1593">
        <v>1521</v>
      </c>
    </row>
    <row r="1594" spans="2:13" ht="12.75">
      <c r="B1594" t="str">
        <f t="shared" si="76"/>
        <v>5618</v>
      </c>
      <c r="C1594" t="s">
        <v>460</v>
      </c>
      <c r="D1594">
        <v>402513</v>
      </c>
      <c r="E1594" t="s">
        <v>85</v>
      </c>
      <c r="F1594">
        <v>10004</v>
      </c>
      <c r="G1594" t="s">
        <v>25</v>
      </c>
      <c r="H1594">
        <v>1</v>
      </c>
      <c r="I1594" t="s">
        <v>21</v>
      </c>
      <c r="J1594">
        <v>1</v>
      </c>
      <c r="K1594" s="4">
        <v>729.6</v>
      </c>
      <c r="L1594" s="4">
        <v>729.6</v>
      </c>
      <c r="M1594">
        <v>1521</v>
      </c>
    </row>
    <row r="1595" spans="2:13" ht="12.75">
      <c r="B1595" t="str">
        <f t="shared" si="76"/>
        <v>5618</v>
      </c>
      <c r="C1595" t="s">
        <v>460</v>
      </c>
      <c r="D1595">
        <v>402515</v>
      </c>
      <c r="E1595" t="s">
        <v>15</v>
      </c>
      <c r="F1595">
        <v>10004</v>
      </c>
      <c r="G1595" t="s">
        <v>25</v>
      </c>
      <c r="H1595">
        <v>1</v>
      </c>
      <c r="I1595" t="s">
        <v>21</v>
      </c>
      <c r="J1595">
        <v>1</v>
      </c>
      <c r="K1595" s="4">
        <v>30051.72</v>
      </c>
      <c r="L1595" s="4">
        <v>30051.72</v>
      </c>
      <c r="M1595">
        <v>1521</v>
      </c>
    </row>
    <row r="1596" spans="2:13" ht="12.75">
      <c r="B1596" t="str">
        <f t="shared" si="76"/>
        <v>5618</v>
      </c>
      <c r="C1596" t="s">
        <v>460</v>
      </c>
      <c r="D1596">
        <v>402516</v>
      </c>
      <c r="E1596" t="s">
        <v>109</v>
      </c>
      <c r="F1596">
        <v>10004</v>
      </c>
      <c r="G1596" t="s">
        <v>25</v>
      </c>
      <c r="H1596">
        <v>1</v>
      </c>
      <c r="I1596" t="s">
        <v>21</v>
      </c>
      <c r="J1596">
        <v>1</v>
      </c>
      <c r="K1596" s="4">
        <v>95028.04</v>
      </c>
      <c r="L1596" s="4">
        <v>95028.04</v>
      </c>
      <c r="M1596">
        <v>1521</v>
      </c>
    </row>
    <row r="1597" spans="2:13" ht="12.75">
      <c r="B1597" t="str">
        <f t="shared" si="76"/>
        <v>5618</v>
      </c>
      <c r="C1597" t="s">
        <v>460</v>
      </c>
      <c r="D1597">
        <v>402516</v>
      </c>
      <c r="E1597" t="s">
        <v>109</v>
      </c>
      <c r="F1597">
        <v>10004</v>
      </c>
      <c r="G1597" t="s">
        <v>25</v>
      </c>
      <c r="H1597">
        <v>1</v>
      </c>
      <c r="I1597" t="s">
        <v>21</v>
      </c>
      <c r="J1597">
        <v>1</v>
      </c>
      <c r="K1597" s="4">
        <v>19924.81</v>
      </c>
      <c r="L1597" s="4">
        <v>19924.81</v>
      </c>
      <c r="M1597">
        <v>1521</v>
      </c>
    </row>
    <row r="1598" spans="2:13" ht="12.75">
      <c r="B1598" t="str">
        <f t="shared" si="76"/>
        <v>5618</v>
      </c>
      <c r="C1598" t="s">
        <v>460</v>
      </c>
      <c r="D1598">
        <v>402516</v>
      </c>
      <c r="E1598" t="s">
        <v>109</v>
      </c>
      <c r="F1598">
        <v>10004</v>
      </c>
      <c r="G1598" t="s">
        <v>25</v>
      </c>
      <c r="H1598">
        <v>1</v>
      </c>
      <c r="I1598" t="s">
        <v>21</v>
      </c>
      <c r="J1598">
        <v>1</v>
      </c>
      <c r="K1598" s="4">
        <v>17513.59</v>
      </c>
      <c r="L1598" s="4">
        <v>17513.59</v>
      </c>
      <c r="M1598">
        <v>1521</v>
      </c>
    </row>
    <row r="1599" spans="2:13" ht="12.75">
      <c r="B1599" t="str">
        <f t="shared" si="76"/>
        <v>5618</v>
      </c>
      <c r="C1599" t="s">
        <v>460</v>
      </c>
      <c r="D1599">
        <v>420202</v>
      </c>
      <c r="E1599" t="s">
        <v>19</v>
      </c>
      <c r="F1599">
        <v>50003</v>
      </c>
      <c r="G1599" t="s">
        <v>347</v>
      </c>
      <c r="H1599">
        <v>5</v>
      </c>
      <c r="I1599" t="s">
        <v>89</v>
      </c>
      <c r="J1599">
        <v>1</v>
      </c>
      <c r="K1599" s="4">
        <v>71723</v>
      </c>
      <c r="L1599" s="4">
        <v>71723</v>
      </c>
      <c r="M1599" t="s">
        <v>461</v>
      </c>
    </row>
    <row r="1600" spans="2:13" ht="12.75">
      <c r="B1600" t="str">
        <f t="shared" si="76"/>
        <v>5618</v>
      </c>
      <c r="C1600" t="s">
        <v>460</v>
      </c>
      <c r="D1600">
        <v>420202</v>
      </c>
      <c r="E1600" t="s">
        <v>19</v>
      </c>
      <c r="F1600">
        <v>50004</v>
      </c>
      <c r="G1600" t="s">
        <v>25</v>
      </c>
      <c r="H1600">
        <v>5</v>
      </c>
      <c r="I1600" t="s">
        <v>89</v>
      </c>
      <c r="J1600">
        <v>1</v>
      </c>
      <c r="K1600" s="4">
        <v>190000</v>
      </c>
      <c r="L1600" s="4">
        <v>190000</v>
      </c>
      <c r="M1600" t="s">
        <v>461</v>
      </c>
    </row>
    <row r="1601" spans="2:13" ht="12.75">
      <c r="B1601" t="str">
        <f t="shared" si="76"/>
        <v>5618</v>
      </c>
      <c r="C1601" t="s">
        <v>460</v>
      </c>
      <c r="D1601">
        <v>420202</v>
      </c>
      <c r="E1601" t="s">
        <v>19</v>
      </c>
      <c r="F1601">
        <v>50004</v>
      </c>
      <c r="G1601" t="s">
        <v>25</v>
      </c>
      <c r="H1601">
        <v>5</v>
      </c>
      <c r="I1601" t="s">
        <v>89</v>
      </c>
      <c r="J1601">
        <v>1</v>
      </c>
      <c r="K1601" s="4">
        <v>33000</v>
      </c>
      <c r="L1601" s="4">
        <v>33000</v>
      </c>
      <c r="M1601" t="s">
        <v>461</v>
      </c>
    </row>
    <row r="1602" spans="2:13" ht="12.75">
      <c r="B1602" t="str">
        <f t="shared" si="76"/>
        <v>5618</v>
      </c>
      <c r="C1602" t="s">
        <v>460</v>
      </c>
      <c r="D1602">
        <v>420202</v>
      </c>
      <c r="E1602" t="s">
        <v>19</v>
      </c>
      <c r="F1602">
        <v>250012</v>
      </c>
      <c r="G1602" t="s">
        <v>119</v>
      </c>
      <c r="H1602">
        <v>25</v>
      </c>
      <c r="I1602" t="s">
        <v>120</v>
      </c>
      <c r="J1602">
        <v>1</v>
      </c>
      <c r="K1602" s="4">
        <v>190000</v>
      </c>
      <c r="L1602" s="4">
        <v>190000</v>
      </c>
      <c r="M1602" t="s">
        <v>461</v>
      </c>
    </row>
    <row r="1603" spans="2:13" ht="12.75">
      <c r="B1603" t="str">
        <f t="shared" si="76"/>
        <v>5618</v>
      </c>
      <c r="C1603" t="s">
        <v>460</v>
      </c>
      <c r="D1603">
        <v>420249</v>
      </c>
      <c r="E1603" t="s">
        <v>39</v>
      </c>
      <c r="F1603">
        <v>400022</v>
      </c>
      <c r="G1603" t="s">
        <v>142</v>
      </c>
      <c r="H1603">
        <v>40</v>
      </c>
      <c r="I1603" t="s">
        <v>50</v>
      </c>
      <c r="J1603">
        <v>1</v>
      </c>
      <c r="K1603" s="4">
        <v>15000</v>
      </c>
      <c r="L1603" s="4">
        <v>15000</v>
      </c>
      <c r="M1603" t="s">
        <v>461</v>
      </c>
    </row>
    <row r="1604" spans="2:13" ht="12.75">
      <c r="B1604" t="str">
        <f t="shared" si="76"/>
        <v>5618</v>
      </c>
      <c r="C1604" t="s">
        <v>460</v>
      </c>
      <c r="D1604">
        <v>420806</v>
      </c>
      <c r="E1604" t="s">
        <v>122</v>
      </c>
      <c r="F1604">
        <v>380001</v>
      </c>
      <c r="G1604" t="s">
        <v>25</v>
      </c>
      <c r="H1604">
        <v>38</v>
      </c>
      <c r="I1604" t="s">
        <v>264</v>
      </c>
      <c r="J1604">
        <v>1</v>
      </c>
      <c r="K1604" s="4">
        <v>25000</v>
      </c>
      <c r="L1604" s="4">
        <v>25000</v>
      </c>
      <c r="M1604" t="s">
        <v>461</v>
      </c>
    </row>
    <row r="1605" spans="2:12" ht="12.75">
      <c r="B1605" t="str">
        <f aca="true" t="shared" si="77" ref="B1605:B1635">"5621"</f>
        <v>5621</v>
      </c>
      <c r="C1605" t="s">
        <v>462</v>
      </c>
      <c r="D1605">
        <v>402516</v>
      </c>
      <c r="E1605" t="s">
        <v>109</v>
      </c>
      <c r="F1605">
        <v>410001</v>
      </c>
      <c r="G1605" t="s">
        <v>13</v>
      </c>
      <c r="H1605">
        <v>41</v>
      </c>
      <c r="I1605" t="s">
        <v>14</v>
      </c>
      <c r="J1605">
        <v>1</v>
      </c>
      <c r="K1605" s="4">
        <v>499997</v>
      </c>
      <c r="L1605" s="4">
        <v>499997</v>
      </c>
    </row>
    <row r="1606" spans="2:12" ht="12.75">
      <c r="B1606" t="str">
        <f t="shared" si="77"/>
        <v>5621</v>
      </c>
      <c r="C1606" t="s">
        <v>462</v>
      </c>
      <c r="D1606">
        <v>402516</v>
      </c>
      <c r="E1606" t="s">
        <v>109</v>
      </c>
      <c r="F1606">
        <v>410001</v>
      </c>
      <c r="G1606" t="s">
        <v>13</v>
      </c>
      <c r="H1606">
        <v>41</v>
      </c>
      <c r="I1606" t="s">
        <v>14</v>
      </c>
      <c r="J1606">
        <v>1</v>
      </c>
      <c r="K1606" s="4">
        <v>10000</v>
      </c>
      <c r="L1606" s="4">
        <v>10000</v>
      </c>
    </row>
    <row r="1607" spans="2:12" ht="12.75">
      <c r="B1607" t="str">
        <f t="shared" si="77"/>
        <v>5621</v>
      </c>
      <c r="C1607" t="s">
        <v>462</v>
      </c>
      <c r="D1607">
        <v>402516</v>
      </c>
      <c r="E1607" t="s">
        <v>109</v>
      </c>
      <c r="F1607">
        <v>410001</v>
      </c>
      <c r="G1607" t="s">
        <v>13</v>
      </c>
      <c r="H1607">
        <v>41</v>
      </c>
      <c r="I1607" t="s">
        <v>14</v>
      </c>
      <c r="J1607">
        <v>1</v>
      </c>
      <c r="K1607" s="4">
        <v>143736</v>
      </c>
      <c r="L1607" s="4">
        <v>143736</v>
      </c>
    </row>
    <row r="1608" spans="2:12" ht="12.75">
      <c r="B1608" t="str">
        <f t="shared" si="77"/>
        <v>5621</v>
      </c>
      <c r="C1608" t="s">
        <v>462</v>
      </c>
      <c r="D1608">
        <v>402516</v>
      </c>
      <c r="E1608" t="s">
        <v>109</v>
      </c>
      <c r="F1608">
        <v>410001</v>
      </c>
      <c r="G1608" t="s">
        <v>13</v>
      </c>
      <c r="H1608">
        <v>41</v>
      </c>
      <c r="I1608" t="s">
        <v>14</v>
      </c>
      <c r="J1608">
        <v>1</v>
      </c>
      <c r="K1608" s="4">
        <v>145004</v>
      </c>
      <c r="L1608" s="4">
        <v>145004</v>
      </c>
    </row>
    <row r="1609" spans="2:12" ht="12.75">
      <c r="B1609" t="str">
        <f t="shared" si="77"/>
        <v>5621</v>
      </c>
      <c r="C1609" t="s">
        <v>462</v>
      </c>
      <c r="D1609">
        <v>402516</v>
      </c>
      <c r="E1609" t="s">
        <v>109</v>
      </c>
      <c r="F1609">
        <v>410001</v>
      </c>
      <c r="G1609" t="s">
        <v>13</v>
      </c>
      <c r="H1609">
        <v>41</v>
      </c>
      <c r="I1609" t="s">
        <v>14</v>
      </c>
      <c r="J1609">
        <v>1</v>
      </c>
      <c r="K1609" s="4">
        <v>122400</v>
      </c>
      <c r="L1609" s="4">
        <v>122400</v>
      </c>
    </row>
    <row r="1610" spans="2:12" ht="12.75">
      <c r="B1610" t="str">
        <f t="shared" si="77"/>
        <v>5621</v>
      </c>
      <c r="C1610" t="s">
        <v>462</v>
      </c>
      <c r="D1610">
        <v>402516</v>
      </c>
      <c r="E1610" t="s">
        <v>109</v>
      </c>
      <c r="F1610">
        <v>410001</v>
      </c>
      <c r="G1610" t="s">
        <v>13</v>
      </c>
      <c r="H1610">
        <v>41</v>
      </c>
      <c r="I1610" t="s">
        <v>14</v>
      </c>
      <c r="J1610">
        <v>1</v>
      </c>
      <c r="K1610" s="4">
        <v>91529.28</v>
      </c>
      <c r="L1610" s="4">
        <v>91529.28</v>
      </c>
    </row>
    <row r="1611" spans="2:12" ht="12.75">
      <c r="B1611" t="str">
        <f t="shared" si="77"/>
        <v>5621</v>
      </c>
      <c r="C1611" t="s">
        <v>462</v>
      </c>
      <c r="D1611">
        <v>402516</v>
      </c>
      <c r="E1611" t="s">
        <v>109</v>
      </c>
      <c r="F1611">
        <v>410001</v>
      </c>
      <c r="G1611" t="s">
        <v>13</v>
      </c>
      <c r="H1611">
        <v>41</v>
      </c>
      <c r="I1611" t="s">
        <v>14</v>
      </c>
      <c r="J1611">
        <v>1</v>
      </c>
      <c r="K1611" s="4">
        <v>13200</v>
      </c>
      <c r="L1611" s="4">
        <v>13200</v>
      </c>
    </row>
    <row r="1612" spans="2:12" ht="12.75">
      <c r="B1612" t="str">
        <f t="shared" si="77"/>
        <v>5621</v>
      </c>
      <c r="C1612" t="s">
        <v>462</v>
      </c>
      <c r="D1612">
        <v>402516</v>
      </c>
      <c r="E1612" t="s">
        <v>109</v>
      </c>
      <c r="F1612">
        <v>410001</v>
      </c>
      <c r="G1612" t="s">
        <v>13</v>
      </c>
      <c r="H1612">
        <v>41</v>
      </c>
      <c r="I1612" t="s">
        <v>14</v>
      </c>
      <c r="J1612">
        <v>1</v>
      </c>
      <c r="K1612" s="4">
        <v>47578.08</v>
      </c>
      <c r="L1612" s="4">
        <v>47578.08</v>
      </c>
    </row>
    <row r="1613" spans="2:12" ht="12.75">
      <c r="B1613" t="str">
        <f t="shared" si="77"/>
        <v>5621</v>
      </c>
      <c r="C1613" t="s">
        <v>462</v>
      </c>
      <c r="D1613">
        <v>402516</v>
      </c>
      <c r="E1613" t="s">
        <v>109</v>
      </c>
      <c r="F1613">
        <v>410001</v>
      </c>
      <c r="G1613" t="s">
        <v>13</v>
      </c>
      <c r="H1613">
        <v>41</v>
      </c>
      <c r="I1613" t="s">
        <v>14</v>
      </c>
      <c r="J1613">
        <v>1</v>
      </c>
      <c r="K1613" s="4">
        <v>3140</v>
      </c>
      <c r="L1613" s="4">
        <v>3140</v>
      </c>
    </row>
    <row r="1614" spans="2:12" ht="12.75">
      <c r="B1614" t="str">
        <f t="shared" si="77"/>
        <v>5621</v>
      </c>
      <c r="C1614" t="s">
        <v>462</v>
      </c>
      <c r="D1614">
        <v>402516</v>
      </c>
      <c r="E1614" t="s">
        <v>109</v>
      </c>
      <c r="F1614">
        <v>410001</v>
      </c>
      <c r="G1614" t="s">
        <v>13</v>
      </c>
      <c r="H1614">
        <v>41</v>
      </c>
      <c r="I1614" t="s">
        <v>14</v>
      </c>
      <c r="J1614">
        <v>1</v>
      </c>
      <c r="K1614" s="4">
        <v>12908.4</v>
      </c>
      <c r="L1614" s="4">
        <v>12908.4</v>
      </c>
    </row>
    <row r="1615" spans="2:12" ht="12.75">
      <c r="B1615" t="str">
        <f t="shared" si="77"/>
        <v>5621</v>
      </c>
      <c r="C1615" t="s">
        <v>462</v>
      </c>
      <c r="D1615">
        <v>402516</v>
      </c>
      <c r="E1615" t="s">
        <v>109</v>
      </c>
      <c r="F1615">
        <v>410001</v>
      </c>
      <c r="G1615" t="s">
        <v>13</v>
      </c>
      <c r="H1615">
        <v>41</v>
      </c>
      <c r="I1615" t="s">
        <v>14</v>
      </c>
      <c r="J1615">
        <v>1</v>
      </c>
      <c r="K1615" s="4">
        <v>41605.75</v>
      </c>
      <c r="L1615" s="4">
        <v>41605.75</v>
      </c>
    </row>
    <row r="1616" spans="2:12" ht="12.75">
      <c r="B1616" t="str">
        <f t="shared" si="77"/>
        <v>5621</v>
      </c>
      <c r="C1616" t="s">
        <v>462</v>
      </c>
      <c r="D1616">
        <v>402516</v>
      </c>
      <c r="E1616" t="s">
        <v>109</v>
      </c>
      <c r="F1616">
        <v>410001</v>
      </c>
      <c r="G1616" t="s">
        <v>13</v>
      </c>
      <c r="H1616">
        <v>41</v>
      </c>
      <c r="I1616" t="s">
        <v>14</v>
      </c>
      <c r="J1616">
        <v>1</v>
      </c>
      <c r="K1616" s="4">
        <v>75108</v>
      </c>
      <c r="L1616" s="4">
        <v>75108</v>
      </c>
    </row>
    <row r="1617" spans="2:12" ht="12.75">
      <c r="B1617" t="str">
        <f t="shared" si="77"/>
        <v>5621</v>
      </c>
      <c r="C1617" t="s">
        <v>462</v>
      </c>
      <c r="D1617">
        <v>402516</v>
      </c>
      <c r="E1617" t="s">
        <v>109</v>
      </c>
      <c r="F1617">
        <v>410003</v>
      </c>
      <c r="G1617" t="s">
        <v>125</v>
      </c>
      <c r="H1617">
        <v>41</v>
      </c>
      <c r="I1617" t="s">
        <v>14</v>
      </c>
      <c r="J1617">
        <v>1</v>
      </c>
      <c r="K1617" s="4">
        <v>63000</v>
      </c>
      <c r="L1617" s="4">
        <v>63000</v>
      </c>
    </row>
    <row r="1618" spans="2:12" ht="12.75">
      <c r="B1618" t="str">
        <f t="shared" si="77"/>
        <v>5621</v>
      </c>
      <c r="C1618" t="s">
        <v>462</v>
      </c>
      <c r="D1618">
        <v>402516</v>
      </c>
      <c r="E1618" t="s">
        <v>109</v>
      </c>
      <c r="F1618">
        <v>410003</v>
      </c>
      <c r="G1618" t="s">
        <v>125</v>
      </c>
      <c r="H1618">
        <v>41</v>
      </c>
      <c r="I1618" t="s">
        <v>14</v>
      </c>
      <c r="J1618">
        <v>1</v>
      </c>
      <c r="K1618" s="4">
        <v>175262.89</v>
      </c>
      <c r="L1618" s="4">
        <v>175262.89</v>
      </c>
    </row>
    <row r="1619" spans="2:12" ht="12.75">
      <c r="B1619" t="str">
        <f t="shared" si="77"/>
        <v>5621</v>
      </c>
      <c r="C1619" t="s">
        <v>462</v>
      </c>
      <c r="D1619">
        <v>402516</v>
      </c>
      <c r="E1619" t="s">
        <v>109</v>
      </c>
      <c r="F1619">
        <v>410003</v>
      </c>
      <c r="G1619" t="s">
        <v>125</v>
      </c>
      <c r="H1619">
        <v>41</v>
      </c>
      <c r="I1619" t="s">
        <v>14</v>
      </c>
      <c r="J1619">
        <v>1</v>
      </c>
      <c r="K1619" s="4">
        <v>161198.16</v>
      </c>
      <c r="L1619" s="4">
        <v>161198.16</v>
      </c>
    </row>
    <row r="1620" spans="2:12" ht="12.75">
      <c r="B1620" t="str">
        <f t="shared" si="77"/>
        <v>5621</v>
      </c>
      <c r="C1620" t="s">
        <v>462</v>
      </c>
      <c r="D1620">
        <v>402516</v>
      </c>
      <c r="E1620" t="s">
        <v>109</v>
      </c>
      <c r="F1620">
        <v>410003</v>
      </c>
      <c r="G1620" t="s">
        <v>125</v>
      </c>
      <c r="H1620">
        <v>41</v>
      </c>
      <c r="I1620" t="s">
        <v>14</v>
      </c>
      <c r="J1620">
        <v>1</v>
      </c>
      <c r="K1620" s="4">
        <v>175000</v>
      </c>
      <c r="L1620" s="4">
        <v>175000</v>
      </c>
    </row>
    <row r="1621" spans="2:12" ht="12.75">
      <c r="B1621" t="str">
        <f t="shared" si="77"/>
        <v>5621</v>
      </c>
      <c r="C1621" t="s">
        <v>462</v>
      </c>
      <c r="D1621">
        <v>402516</v>
      </c>
      <c r="E1621" t="s">
        <v>109</v>
      </c>
      <c r="F1621">
        <v>410003</v>
      </c>
      <c r="G1621" t="s">
        <v>125</v>
      </c>
      <c r="H1621">
        <v>41</v>
      </c>
      <c r="I1621" t="s">
        <v>14</v>
      </c>
      <c r="J1621">
        <v>1</v>
      </c>
      <c r="K1621" s="4">
        <v>175262.89</v>
      </c>
      <c r="L1621" s="4">
        <v>175262.89</v>
      </c>
    </row>
    <row r="1622" spans="2:12" ht="12.75">
      <c r="B1622" t="str">
        <f t="shared" si="77"/>
        <v>5621</v>
      </c>
      <c r="C1622" t="s">
        <v>462</v>
      </c>
      <c r="D1622">
        <v>402516</v>
      </c>
      <c r="E1622" t="s">
        <v>109</v>
      </c>
      <c r="F1622">
        <v>410005</v>
      </c>
      <c r="G1622" t="s">
        <v>190</v>
      </c>
      <c r="H1622">
        <v>41</v>
      </c>
      <c r="I1622" t="s">
        <v>14</v>
      </c>
      <c r="J1622">
        <v>1</v>
      </c>
      <c r="K1622" s="4">
        <v>249950</v>
      </c>
      <c r="L1622" s="4">
        <v>249950</v>
      </c>
    </row>
    <row r="1623" spans="2:12" ht="12.75">
      <c r="B1623" t="str">
        <f t="shared" si="77"/>
        <v>5621</v>
      </c>
      <c r="C1623" t="s">
        <v>462</v>
      </c>
      <c r="D1623">
        <v>402516</v>
      </c>
      <c r="E1623" t="s">
        <v>109</v>
      </c>
      <c r="F1623">
        <v>420001</v>
      </c>
      <c r="G1623" t="s">
        <v>185</v>
      </c>
      <c r="H1623">
        <v>42</v>
      </c>
      <c r="I1623" t="s">
        <v>101</v>
      </c>
      <c r="J1623">
        <v>1</v>
      </c>
      <c r="K1623" s="4">
        <v>10000</v>
      </c>
      <c r="L1623" s="4">
        <v>10000</v>
      </c>
    </row>
    <row r="1624" spans="2:12" ht="12.75">
      <c r="B1624" t="str">
        <f t="shared" si="77"/>
        <v>5621</v>
      </c>
      <c r="C1624" t="s">
        <v>462</v>
      </c>
      <c r="D1624">
        <v>420703</v>
      </c>
      <c r="E1624" t="s">
        <v>51</v>
      </c>
      <c r="F1624">
        <v>310006</v>
      </c>
      <c r="G1624" t="s">
        <v>204</v>
      </c>
      <c r="H1624">
        <v>31</v>
      </c>
      <c r="I1624" t="s">
        <v>26</v>
      </c>
      <c r="J1624">
        <v>1</v>
      </c>
      <c r="K1624" s="4">
        <v>0</v>
      </c>
      <c r="L1624" s="4">
        <v>0</v>
      </c>
    </row>
    <row r="1625" spans="2:12" ht="12.75">
      <c r="B1625" t="str">
        <f t="shared" si="77"/>
        <v>5621</v>
      </c>
      <c r="C1625" t="s">
        <v>462</v>
      </c>
      <c r="D1625">
        <v>420704</v>
      </c>
      <c r="E1625" t="s">
        <v>24</v>
      </c>
      <c r="F1625">
        <v>420004</v>
      </c>
      <c r="G1625" t="s">
        <v>25</v>
      </c>
      <c r="H1625">
        <v>42</v>
      </c>
      <c r="I1625" t="s">
        <v>101</v>
      </c>
      <c r="J1625">
        <v>1</v>
      </c>
      <c r="K1625" s="4">
        <v>150000</v>
      </c>
      <c r="L1625" s="4">
        <v>150000</v>
      </c>
    </row>
    <row r="1626" spans="2:12" ht="12.75">
      <c r="B1626" t="str">
        <f t="shared" si="77"/>
        <v>5621</v>
      </c>
      <c r="C1626" t="s">
        <v>462</v>
      </c>
      <c r="D1626">
        <v>420704</v>
      </c>
      <c r="E1626" t="s">
        <v>24</v>
      </c>
      <c r="F1626">
        <v>420004</v>
      </c>
      <c r="G1626" t="s">
        <v>25</v>
      </c>
      <c r="H1626">
        <v>42</v>
      </c>
      <c r="I1626" t="s">
        <v>101</v>
      </c>
      <c r="J1626">
        <v>1</v>
      </c>
      <c r="K1626" s="4">
        <v>100000</v>
      </c>
      <c r="L1626" s="4">
        <v>100000</v>
      </c>
    </row>
    <row r="1627" spans="2:12" ht="12.75">
      <c r="B1627" t="str">
        <f t="shared" si="77"/>
        <v>5621</v>
      </c>
      <c r="C1627" t="s">
        <v>462</v>
      </c>
      <c r="D1627">
        <v>420704</v>
      </c>
      <c r="E1627" t="s">
        <v>24</v>
      </c>
      <c r="F1627">
        <v>420004</v>
      </c>
      <c r="G1627" t="s">
        <v>25</v>
      </c>
      <c r="H1627">
        <v>42</v>
      </c>
      <c r="I1627" t="s">
        <v>101</v>
      </c>
      <c r="J1627">
        <v>1</v>
      </c>
      <c r="K1627" s="4">
        <v>25000</v>
      </c>
      <c r="L1627" s="4">
        <v>25000</v>
      </c>
    </row>
    <row r="1628" spans="2:12" ht="12.75">
      <c r="B1628" t="str">
        <f t="shared" si="77"/>
        <v>5621</v>
      </c>
      <c r="C1628" t="s">
        <v>462</v>
      </c>
      <c r="D1628">
        <v>420704</v>
      </c>
      <c r="E1628" t="s">
        <v>24</v>
      </c>
      <c r="F1628">
        <v>420004</v>
      </c>
      <c r="G1628" t="s">
        <v>25</v>
      </c>
      <c r="H1628">
        <v>42</v>
      </c>
      <c r="I1628" t="s">
        <v>101</v>
      </c>
      <c r="J1628">
        <v>1</v>
      </c>
      <c r="K1628" s="4">
        <v>41902.55</v>
      </c>
      <c r="L1628" s="4">
        <v>41902.55</v>
      </c>
    </row>
    <row r="1629" spans="2:12" ht="12.75">
      <c r="B1629" t="str">
        <f t="shared" si="77"/>
        <v>5621</v>
      </c>
      <c r="C1629" t="s">
        <v>462</v>
      </c>
      <c r="D1629">
        <v>420704</v>
      </c>
      <c r="E1629" t="s">
        <v>24</v>
      </c>
      <c r="F1629">
        <v>420004</v>
      </c>
      <c r="G1629" t="s">
        <v>25</v>
      </c>
      <c r="H1629">
        <v>42</v>
      </c>
      <c r="I1629" t="s">
        <v>101</v>
      </c>
      <c r="J1629">
        <v>1</v>
      </c>
      <c r="K1629" s="4">
        <v>1000</v>
      </c>
      <c r="L1629" s="4">
        <v>1000</v>
      </c>
    </row>
    <row r="1630" spans="2:12" ht="12.75">
      <c r="B1630" t="str">
        <f t="shared" si="77"/>
        <v>5621</v>
      </c>
      <c r="C1630" t="s">
        <v>462</v>
      </c>
      <c r="D1630">
        <v>420704</v>
      </c>
      <c r="E1630" t="s">
        <v>24</v>
      </c>
      <c r="F1630">
        <v>420004</v>
      </c>
      <c r="G1630" t="s">
        <v>25</v>
      </c>
      <c r="H1630">
        <v>42</v>
      </c>
      <c r="I1630" t="s">
        <v>101</v>
      </c>
      <c r="J1630">
        <v>1</v>
      </c>
      <c r="K1630" s="4">
        <v>50000</v>
      </c>
      <c r="L1630" s="4">
        <v>50000</v>
      </c>
    </row>
    <row r="1631" spans="2:12" ht="12.75">
      <c r="B1631" t="str">
        <f t="shared" si="77"/>
        <v>5621</v>
      </c>
      <c r="C1631" t="s">
        <v>462</v>
      </c>
      <c r="D1631">
        <v>420704</v>
      </c>
      <c r="E1631" t="s">
        <v>24</v>
      </c>
      <c r="F1631">
        <v>420004</v>
      </c>
      <c r="G1631" t="s">
        <v>25</v>
      </c>
      <c r="H1631">
        <v>42</v>
      </c>
      <c r="I1631" t="s">
        <v>101</v>
      </c>
      <c r="J1631">
        <v>1</v>
      </c>
      <c r="K1631" s="4">
        <v>0</v>
      </c>
      <c r="L1631" s="4">
        <v>0</v>
      </c>
    </row>
    <row r="1632" spans="2:12" ht="12.75">
      <c r="B1632" t="str">
        <f t="shared" si="77"/>
        <v>5621</v>
      </c>
      <c r="C1632" t="s">
        <v>462</v>
      </c>
      <c r="D1632">
        <v>420704</v>
      </c>
      <c r="E1632" t="s">
        <v>24</v>
      </c>
      <c r="F1632">
        <v>420004</v>
      </c>
      <c r="G1632" t="s">
        <v>25</v>
      </c>
      <c r="H1632">
        <v>42</v>
      </c>
      <c r="I1632" t="s">
        <v>101</v>
      </c>
      <c r="J1632">
        <v>1</v>
      </c>
      <c r="K1632" s="4">
        <v>200000</v>
      </c>
      <c r="L1632" s="4">
        <v>200000</v>
      </c>
    </row>
    <row r="1633" spans="2:12" ht="12.75">
      <c r="B1633" t="str">
        <f t="shared" si="77"/>
        <v>5621</v>
      </c>
      <c r="C1633" t="s">
        <v>462</v>
      </c>
      <c r="D1633">
        <v>420704</v>
      </c>
      <c r="E1633" t="s">
        <v>24</v>
      </c>
      <c r="F1633">
        <v>420004</v>
      </c>
      <c r="G1633" t="s">
        <v>25</v>
      </c>
      <c r="H1633">
        <v>42</v>
      </c>
      <c r="I1633" t="s">
        <v>101</v>
      </c>
      <c r="J1633">
        <v>1</v>
      </c>
      <c r="K1633" s="4">
        <v>20000</v>
      </c>
      <c r="L1633" s="4">
        <v>20000</v>
      </c>
    </row>
    <row r="1634" spans="2:12" ht="12.75">
      <c r="B1634" t="str">
        <f t="shared" si="77"/>
        <v>5621</v>
      </c>
      <c r="C1634" t="s">
        <v>462</v>
      </c>
      <c r="D1634">
        <v>420704</v>
      </c>
      <c r="E1634" t="s">
        <v>24</v>
      </c>
      <c r="F1634">
        <v>420004</v>
      </c>
      <c r="G1634" t="s">
        <v>25</v>
      </c>
      <c r="H1634">
        <v>42</v>
      </c>
      <c r="I1634" t="s">
        <v>101</v>
      </c>
      <c r="J1634">
        <v>1</v>
      </c>
      <c r="K1634" s="4">
        <v>48960</v>
      </c>
      <c r="L1634" s="4">
        <v>48960</v>
      </c>
    </row>
    <row r="1635" spans="2:12" ht="12.75">
      <c r="B1635" t="str">
        <f t="shared" si="77"/>
        <v>5621</v>
      </c>
      <c r="C1635" t="s">
        <v>462</v>
      </c>
      <c r="D1635">
        <v>420704</v>
      </c>
      <c r="E1635" t="s">
        <v>24</v>
      </c>
      <c r="F1635">
        <v>420004</v>
      </c>
      <c r="G1635" t="s">
        <v>25</v>
      </c>
      <c r="H1635">
        <v>42</v>
      </c>
      <c r="I1635" t="s">
        <v>101</v>
      </c>
      <c r="J1635">
        <v>1</v>
      </c>
      <c r="K1635" s="4">
        <v>0</v>
      </c>
      <c r="L1635" s="4">
        <v>0</v>
      </c>
    </row>
    <row r="1636" spans="2:12" ht="12.75">
      <c r="B1636" t="str">
        <f aca="true" t="shared" si="78" ref="B1636:B1655">"5622"</f>
        <v>5622</v>
      </c>
      <c r="C1636" t="s">
        <v>463</v>
      </c>
      <c r="D1636">
        <v>402011</v>
      </c>
      <c r="E1636" t="s">
        <v>54</v>
      </c>
      <c r="F1636">
        <v>390001</v>
      </c>
      <c r="G1636" t="s">
        <v>306</v>
      </c>
      <c r="H1636">
        <v>39</v>
      </c>
      <c r="I1636" t="s">
        <v>141</v>
      </c>
      <c r="J1636">
        <v>1010</v>
      </c>
      <c r="K1636" s="4">
        <v>89</v>
      </c>
      <c r="L1636" s="4">
        <v>89890</v>
      </c>
    </row>
    <row r="1637" spans="2:13" ht="12.75">
      <c r="B1637" t="str">
        <f t="shared" si="78"/>
        <v>5622</v>
      </c>
      <c r="C1637" t="s">
        <v>463</v>
      </c>
      <c r="D1637">
        <v>402011</v>
      </c>
      <c r="E1637" t="s">
        <v>54</v>
      </c>
      <c r="F1637">
        <v>390001</v>
      </c>
      <c r="G1637" t="s">
        <v>306</v>
      </c>
      <c r="H1637">
        <v>39</v>
      </c>
      <c r="I1637" t="s">
        <v>141</v>
      </c>
      <c r="J1637">
        <v>15</v>
      </c>
      <c r="K1637" s="4">
        <v>180</v>
      </c>
      <c r="L1637" s="4">
        <v>2700</v>
      </c>
      <c r="M1637" t="s">
        <v>25</v>
      </c>
    </row>
    <row r="1638" spans="2:12" ht="12.75">
      <c r="B1638" t="str">
        <f t="shared" si="78"/>
        <v>5622</v>
      </c>
      <c r="C1638" t="s">
        <v>463</v>
      </c>
      <c r="D1638">
        <v>402011</v>
      </c>
      <c r="E1638" t="s">
        <v>54</v>
      </c>
      <c r="F1638">
        <v>390001</v>
      </c>
      <c r="G1638" t="s">
        <v>306</v>
      </c>
      <c r="H1638">
        <v>39</v>
      </c>
      <c r="I1638" t="s">
        <v>141</v>
      </c>
      <c r="J1638">
        <v>12</v>
      </c>
      <c r="K1638" s="4">
        <v>26000</v>
      </c>
      <c r="L1638" s="4">
        <v>312000</v>
      </c>
    </row>
    <row r="1639" spans="2:12" ht="12.75">
      <c r="B1639" t="str">
        <f t="shared" si="78"/>
        <v>5622</v>
      </c>
      <c r="C1639" t="s">
        <v>463</v>
      </c>
      <c r="D1639">
        <v>402011</v>
      </c>
      <c r="E1639" t="s">
        <v>54</v>
      </c>
      <c r="F1639">
        <v>390002</v>
      </c>
      <c r="G1639" t="s">
        <v>307</v>
      </c>
      <c r="H1639">
        <v>39</v>
      </c>
      <c r="I1639" t="s">
        <v>141</v>
      </c>
      <c r="J1639">
        <v>12</v>
      </c>
      <c r="K1639" s="4">
        <v>18000</v>
      </c>
      <c r="L1639" s="4">
        <v>216000</v>
      </c>
    </row>
    <row r="1640" spans="2:12" ht="12.75">
      <c r="B1640" t="str">
        <f t="shared" si="78"/>
        <v>5622</v>
      </c>
      <c r="C1640" t="s">
        <v>463</v>
      </c>
      <c r="D1640">
        <v>402011</v>
      </c>
      <c r="E1640" t="s">
        <v>54</v>
      </c>
      <c r="F1640">
        <v>390003</v>
      </c>
      <c r="G1640" t="s">
        <v>154</v>
      </c>
      <c r="H1640">
        <v>39</v>
      </c>
      <c r="I1640" t="s">
        <v>141</v>
      </c>
      <c r="J1640">
        <v>12</v>
      </c>
      <c r="K1640" s="4">
        <v>20000</v>
      </c>
      <c r="L1640" s="4">
        <v>240000</v>
      </c>
    </row>
    <row r="1641" spans="2:12" ht="12.75">
      <c r="B1641" t="str">
        <f t="shared" si="78"/>
        <v>5622</v>
      </c>
      <c r="C1641" t="s">
        <v>463</v>
      </c>
      <c r="D1641">
        <v>402011</v>
      </c>
      <c r="E1641" t="s">
        <v>54</v>
      </c>
      <c r="F1641">
        <v>390005</v>
      </c>
      <c r="G1641" t="s">
        <v>25</v>
      </c>
      <c r="H1641">
        <v>39</v>
      </c>
      <c r="I1641" t="s">
        <v>141</v>
      </c>
      <c r="J1641">
        <v>8</v>
      </c>
      <c r="K1641" s="4">
        <v>2500</v>
      </c>
      <c r="L1641" s="4">
        <v>20000</v>
      </c>
    </row>
    <row r="1642" spans="2:12" ht="12.75">
      <c r="B1642" t="str">
        <f t="shared" si="78"/>
        <v>5622</v>
      </c>
      <c r="C1642" t="s">
        <v>463</v>
      </c>
      <c r="D1642">
        <v>402510</v>
      </c>
      <c r="E1642" t="s">
        <v>12</v>
      </c>
      <c r="F1642">
        <v>120003</v>
      </c>
      <c r="G1642" t="s">
        <v>37</v>
      </c>
      <c r="H1642">
        <v>12</v>
      </c>
      <c r="I1642" t="s">
        <v>38</v>
      </c>
      <c r="J1642">
        <v>28</v>
      </c>
      <c r="K1642" s="4">
        <v>580</v>
      </c>
      <c r="L1642" s="4">
        <v>16240</v>
      </c>
    </row>
    <row r="1643" spans="2:12" ht="12.75">
      <c r="B1643" t="str">
        <f t="shared" si="78"/>
        <v>5622</v>
      </c>
      <c r="C1643" t="s">
        <v>463</v>
      </c>
      <c r="D1643">
        <v>402515</v>
      </c>
      <c r="E1643" t="s">
        <v>15</v>
      </c>
      <c r="F1643">
        <v>350011</v>
      </c>
      <c r="G1643" t="s">
        <v>25</v>
      </c>
      <c r="H1643">
        <v>35</v>
      </c>
      <c r="I1643" t="s">
        <v>17</v>
      </c>
      <c r="J1643">
        <v>12</v>
      </c>
      <c r="K1643" s="4">
        <v>10600</v>
      </c>
      <c r="L1643" s="4">
        <v>127200</v>
      </c>
    </row>
    <row r="1644" spans="2:12" ht="12.75">
      <c r="B1644" t="str">
        <f t="shared" si="78"/>
        <v>5622</v>
      </c>
      <c r="C1644" t="s">
        <v>463</v>
      </c>
      <c r="D1644">
        <v>420202</v>
      </c>
      <c r="E1644" t="s">
        <v>19</v>
      </c>
      <c r="F1644">
        <v>10002</v>
      </c>
      <c r="G1644" t="s">
        <v>20</v>
      </c>
      <c r="H1644">
        <v>1</v>
      </c>
      <c r="I1644" t="s">
        <v>21</v>
      </c>
      <c r="J1644">
        <v>1010</v>
      </c>
      <c r="K1644" s="4">
        <v>650</v>
      </c>
      <c r="L1644" s="4">
        <v>656500</v>
      </c>
    </row>
    <row r="1645" spans="2:12" ht="12.75">
      <c r="B1645" t="str">
        <f t="shared" si="78"/>
        <v>5622</v>
      </c>
      <c r="C1645" t="s">
        <v>463</v>
      </c>
      <c r="D1645">
        <v>420202</v>
      </c>
      <c r="E1645" t="s">
        <v>19</v>
      </c>
      <c r="F1645">
        <v>20001</v>
      </c>
      <c r="G1645" t="s">
        <v>29</v>
      </c>
      <c r="H1645">
        <v>2</v>
      </c>
      <c r="I1645" t="s">
        <v>30</v>
      </c>
      <c r="J1645">
        <v>15</v>
      </c>
      <c r="K1645" s="4">
        <v>1200</v>
      </c>
      <c r="L1645" s="4">
        <v>18000</v>
      </c>
    </row>
    <row r="1646" spans="2:12" ht="12.75">
      <c r="B1646" t="str">
        <f t="shared" si="78"/>
        <v>5622</v>
      </c>
      <c r="C1646" t="s">
        <v>463</v>
      </c>
      <c r="D1646">
        <v>420202</v>
      </c>
      <c r="E1646" t="s">
        <v>19</v>
      </c>
      <c r="F1646">
        <v>40001</v>
      </c>
      <c r="G1646" t="s">
        <v>59</v>
      </c>
      <c r="H1646">
        <v>4</v>
      </c>
      <c r="I1646" t="s">
        <v>23</v>
      </c>
      <c r="J1646">
        <v>1010</v>
      </c>
      <c r="K1646" s="4">
        <v>180</v>
      </c>
      <c r="L1646" s="4">
        <v>181800</v>
      </c>
    </row>
    <row r="1647" spans="2:12" ht="12.75">
      <c r="B1647" t="str">
        <f t="shared" si="78"/>
        <v>5622</v>
      </c>
      <c r="C1647" t="s">
        <v>463</v>
      </c>
      <c r="D1647">
        <v>420202</v>
      </c>
      <c r="E1647" t="s">
        <v>19</v>
      </c>
      <c r="F1647">
        <v>60002</v>
      </c>
      <c r="G1647" t="s">
        <v>31</v>
      </c>
      <c r="H1647">
        <v>6</v>
      </c>
      <c r="I1647" t="s">
        <v>32</v>
      </c>
      <c r="J1647">
        <v>70</v>
      </c>
      <c r="K1647" s="4">
        <v>800</v>
      </c>
      <c r="L1647" s="4">
        <v>56000</v>
      </c>
    </row>
    <row r="1648" spans="2:12" ht="12.75">
      <c r="B1648" t="str">
        <f t="shared" si="78"/>
        <v>5622</v>
      </c>
      <c r="C1648" t="s">
        <v>463</v>
      </c>
      <c r="D1648">
        <v>420202</v>
      </c>
      <c r="E1648" t="s">
        <v>19</v>
      </c>
      <c r="F1648">
        <v>60002</v>
      </c>
      <c r="G1648" t="s">
        <v>31</v>
      </c>
      <c r="H1648">
        <v>6</v>
      </c>
      <c r="I1648" t="s">
        <v>32</v>
      </c>
      <c r="J1648">
        <v>68</v>
      </c>
      <c r="K1648" s="4">
        <v>800</v>
      </c>
      <c r="L1648" s="4">
        <v>54400</v>
      </c>
    </row>
    <row r="1649" spans="2:12" ht="12.75">
      <c r="B1649" t="str">
        <f t="shared" si="78"/>
        <v>5622</v>
      </c>
      <c r="C1649" t="s">
        <v>463</v>
      </c>
      <c r="D1649">
        <v>420202</v>
      </c>
      <c r="E1649" t="s">
        <v>19</v>
      </c>
      <c r="F1649">
        <v>60002</v>
      </c>
      <c r="G1649" t="s">
        <v>31</v>
      </c>
      <c r="H1649">
        <v>6</v>
      </c>
      <c r="I1649" t="s">
        <v>32</v>
      </c>
      <c r="J1649">
        <v>100</v>
      </c>
      <c r="K1649" s="4">
        <v>260</v>
      </c>
      <c r="L1649" s="4">
        <v>26000</v>
      </c>
    </row>
    <row r="1650" spans="2:12" ht="12.75">
      <c r="B1650" t="str">
        <f t="shared" si="78"/>
        <v>5622</v>
      </c>
      <c r="C1650" t="s">
        <v>463</v>
      </c>
      <c r="D1650">
        <v>420202</v>
      </c>
      <c r="E1650" t="s">
        <v>19</v>
      </c>
      <c r="F1650">
        <v>70002</v>
      </c>
      <c r="G1650" t="s">
        <v>113</v>
      </c>
      <c r="H1650">
        <v>7</v>
      </c>
      <c r="I1650" t="s">
        <v>74</v>
      </c>
      <c r="J1650">
        <v>20</v>
      </c>
      <c r="K1650" s="4">
        <v>850</v>
      </c>
      <c r="L1650" s="4">
        <v>17000</v>
      </c>
    </row>
    <row r="1651" spans="2:12" ht="12.75">
      <c r="B1651" t="str">
        <f t="shared" si="78"/>
        <v>5622</v>
      </c>
      <c r="C1651" t="s">
        <v>463</v>
      </c>
      <c r="D1651">
        <v>420202</v>
      </c>
      <c r="E1651" t="s">
        <v>19</v>
      </c>
      <c r="F1651">
        <v>80001</v>
      </c>
      <c r="G1651" t="s">
        <v>437</v>
      </c>
      <c r="H1651">
        <v>8</v>
      </c>
      <c r="I1651" t="s">
        <v>76</v>
      </c>
      <c r="J1651">
        <v>1</v>
      </c>
      <c r="K1651" s="4">
        <v>890</v>
      </c>
      <c r="L1651" s="4">
        <v>890</v>
      </c>
    </row>
    <row r="1652" spans="2:12" ht="12.75">
      <c r="B1652" t="str">
        <f t="shared" si="78"/>
        <v>5622</v>
      </c>
      <c r="C1652" t="s">
        <v>463</v>
      </c>
      <c r="D1652">
        <v>420202</v>
      </c>
      <c r="E1652" t="s">
        <v>19</v>
      </c>
      <c r="F1652">
        <v>270005</v>
      </c>
      <c r="G1652" t="s">
        <v>226</v>
      </c>
      <c r="H1652">
        <v>27</v>
      </c>
      <c r="I1652" t="s">
        <v>227</v>
      </c>
      <c r="J1652">
        <v>170</v>
      </c>
      <c r="K1652" s="4">
        <v>1560</v>
      </c>
      <c r="L1652" s="4">
        <v>265200</v>
      </c>
    </row>
    <row r="1653" spans="2:13" ht="12.75">
      <c r="B1653" t="str">
        <f t="shared" si="78"/>
        <v>5622</v>
      </c>
      <c r="C1653" t="s">
        <v>463</v>
      </c>
      <c r="D1653">
        <v>420222</v>
      </c>
      <c r="E1653" t="s">
        <v>60</v>
      </c>
      <c r="F1653">
        <v>220001</v>
      </c>
      <c r="G1653" t="s">
        <v>454</v>
      </c>
      <c r="H1653">
        <v>22</v>
      </c>
      <c r="I1653" t="s">
        <v>455</v>
      </c>
      <c r="J1653">
        <v>8</v>
      </c>
      <c r="K1653" s="4">
        <v>360</v>
      </c>
      <c r="L1653" s="4">
        <v>2880</v>
      </c>
      <c r="M1653" t="s">
        <v>464</v>
      </c>
    </row>
    <row r="1654" spans="2:12" ht="12.75">
      <c r="B1654" t="str">
        <f t="shared" si="78"/>
        <v>5622</v>
      </c>
      <c r="C1654" t="s">
        <v>463</v>
      </c>
      <c r="D1654">
        <v>420222</v>
      </c>
      <c r="E1654" t="s">
        <v>60</v>
      </c>
      <c r="F1654">
        <v>230001</v>
      </c>
      <c r="G1654" t="s">
        <v>236</v>
      </c>
      <c r="H1654">
        <v>23</v>
      </c>
      <c r="I1654" t="s">
        <v>143</v>
      </c>
      <c r="J1654">
        <v>8</v>
      </c>
      <c r="K1654" s="4">
        <v>650</v>
      </c>
      <c r="L1654" s="4">
        <v>5200</v>
      </c>
    </row>
    <row r="1655" spans="2:12" ht="12.75">
      <c r="B1655" t="str">
        <f t="shared" si="78"/>
        <v>5622</v>
      </c>
      <c r="C1655" t="s">
        <v>463</v>
      </c>
      <c r="D1655">
        <v>420248</v>
      </c>
      <c r="E1655" t="s">
        <v>36</v>
      </c>
      <c r="F1655">
        <v>120003</v>
      </c>
      <c r="G1655" t="s">
        <v>37</v>
      </c>
      <c r="H1655">
        <v>12</v>
      </c>
      <c r="I1655" t="s">
        <v>38</v>
      </c>
      <c r="J1655">
        <v>28</v>
      </c>
      <c r="K1655" s="4">
        <v>1957</v>
      </c>
      <c r="L1655" s="4">
        <v>54796</v>
      </c>
    </row>
    <row r="1656" spans="2:12" ht="12.75">
      <c r="B1656" t="str">
        <f>"5628"</f>
        <v>5628</v>
      </c>
      <c r="C1656" t="s">
        <v>465</v>
      </c>
      <c r="D1656">
        <v>402011</v>
      </c>
      <c r="E1656" t="s">
        <v>54</v>
      </c>
      <c r="F1656">
        <v>420001</v>
      </c>
      <c r="G1656" t="s">
        <v>185</v>
      </c>
      <c r="H1656">
        <v>42</v>
      </c>
      <c r="I1656" t="s">
        <v>101</v>
      </c>
      <c r="J1656">
        <v>1</v>
      </c>
      <c r="K1656" s="4">
        <v>589746</v>
      </c>
      <c r="L1656" s="4">
        <v>589746</v>
      </c>
    </row>
    <row r="1657" spans="2:13" ht="12.75">
      <c r="B1657" t="str">
        <f>"5628"</f>
        <v>5628</v>
      </c>
      <c r="C1657" t="s">
        <v>465</v>
      </c>
      <c r="D1657">
        <v>402604</v>
      </c>
      <c r="E1657" t="s">
        <v>97</v>
      </c>
      <c r="F1657">
        <v>100009</v>
      </c>
      <c r="G1657" t="s">
        <v>299</v>
      </c>
      <c r="H1657">
        <v>10</v>
      </c>
      <c r="I1657" t="s">
        <v>35</v>
      </c>
      <c r="J1657">
        <v>1</v>
      </c>
      <c r="K1657" s="4">
        <v>107207</v>
      </c>
      <c r="L1657" s="4">
        <v>107207</v>
      </c>
      <c r="M1657" t="s">
        <v>466</v>
      </c>
    </row>
    <row r="1658" spans="2:12" ht="12.75">
      <c r="B1658" t="str">
        <f>"5634"</f>
        <v>5634</v>
      </c>
      <c r="C1658" t="s">
        <v>467</v>
      </c>
      <c r="D1658">
        <v>402011</v>
      </c>
      <c r="E1658" t="s">
        <v>54</v>
      </c>
      <c r="F1658">
        <v>320004</v>
      </c>
      <c r="G1658" t="s">
        <v>171</v>
      </c>
      <c r="H1658">
        <v>32</v>
      </c>
      <c r="I1658" t="s">
        <v>172</v>
      </c>
      <c r="J1658">
        <v>12</v>
      </c>
      <c r="K1658" s="4">
        <v>37217</v>
      </c>
      <c r="L1658" s="4">
        <v>446604</v>
      </c>
    </row>
    <row r="1659" spans="2:12" ht="12.75">
      <c r="B1659" t="str">
        <f>"5634"</f>
        <v>5634</v>
      </c>
      <c r="C1659" t="s">
        <v>467</v>
      </c>
      <c r="D1659">
        <v>402513</v>
      </c>
      <c r="E1659" t="s">
        <v>85</v>
      </c>
      <c r="F1659">
        <v>320001</v>
      </c>
      <c r="G1659" t="s">
        <v>267</v>
      </c>
      <c r="H1659">
        <v>32</v>
      </c>
      <c r="I1659" t="s">
        <v>172</v>
      </c>
      <c r="J1659">
        <v>12</v>
      </c>
      <c r="K1659" s="4">
        <v>6620</v>
      </c>
      <c r="L1659" s="4">
        <v>79440</v>
      </c>
    </row>
    <row r="1660" spans="2:12" ht="12.75">
      <c r="B1660" t="str">
        <f>"5634"</f>
        <v>5634</v>
      </c>
      <c r="C1660" t="s">
        <v>467</v>
      </c>
      <c r="D1660">
        <v>402513</v>
      </c>
      <c r="E1660" t="s">
        <v>85</v>
      </c>
      <c r="F1660">
        <v>320001</v>
      </c>
      <c r="G1660" t="s">
        <v>267</v>
      </c>
      <c r="H1660">
        <v>32</v>
      </c>
      <c r="I1660" t="s">
        <v>172</v>
      </c>
      <c r="J1660">
        <v>1</v>
      </c>
      <c r="K1660" s="4">
        <v>8094</v>
      </c>
      <c r="L1660" s="4">
        <v>8094</v>
      </c>
    </row>
    <row r="1661" spans="2:12" ht="12.75">
      <c r="B1661" t="str">
        <f>"5634"</f>
        <v>5634</v>
      </c>
      <c r="C1661" t="s">
        <v>467</v>
      </c>
      <c r="D1661">
        <v>402514</v>
      </c>
      <c r="E1661" t="s">
        <v>45</v>
      </c>
      <c r="F1661">
        <v>320001</v>
      </c>
      <c r="G1661" t="s">
        <v>267</v>
      </c>
      <c r="H1661">
        <v>32</v>
      </c>
      <c r="I1661" t="s">
        <v>172</v>
      </c>
      <c r="J1661">
        <v>12</v>
      </c>
      <c r="K1661" s="4">
        <v>9100</v>
      </c>
      <c r="L1661" s="4">
        <v>109200</v>
      </c>
    </row>
    <row r="1662" spans="2:13" ht="12.75">
      <c r="B1662" t="str">
        <f aca="true" t="shared" si="79" ref="B1662:B1679">"5798"</f>
        <v>5798</v>
      </c>
      <c r="C1662" t="s">
        <v>468</v>
      </c>
      <c r="D1662">
        <v>402011</v>
      </c>
      <c r="E1662" t="s">
        <v>54</v>
      </c>
      <c r="F1662">
        <v>100008</v>
      </c>
      <c r="G1662" t="s">
        <v>296</v>
      </c>
      <c r="H1662">
        <v>10</v>
      </c>
      <c r="I1662" t="s">
        <v>35</v>
      </c>
      <c r="J1662">
        <v>4</v>
      </c>
      <c r="K1662" s="4">
        <v>6009</v>
      </c>
      <c r="L1662" s="4">
        <v>24036</v>
      </c>
      <c r="M1662" t="s">
        <v>469</v>
      </c>
    </row>
    <row r="1663" spans="2:13" ht="12.75">
      <c r="B1663" t="str">
        <f t="shared" si="79"/>
        <v>5798</v>
      </c>
      <c r="C1663" t="s">
        <v>468</v>
      </c>
      <c r="D1663">
        <v>402011</v>
      </c>
      <c r="E1663" t="s">
        <v>54</v>
      </c>
      <c r="F1663">
        <v>390004</v>
      </c>
      <c r="G1663" t="s">
        <v>470</v>
      </c>
      <c r="H1663">
        <v>39</v>
      </c>
      <c r="I1663" t="s">
        <v>141</v>
      </c>
      <c r="J1663">
        <v>6</v>
      </c>
      <c r="K1663" s="4">
        <v>35031</v>
      </c>
      <c r="L1663" s="4">
        <v>210186</v>
      </c>
      <c r="M1663" t="s">
        <v>471</v>
      </c>
    </row>
    <row r="1664" spans="2:13" ht="12.75">
      <c r="B1664" t="str">
        <f t="shared" si="79"/>
        <v>5798</v>
      </c>
      <c r="C1664" t="s">
        <v>468</v>
      </c>
      <c r="D1664">
        <v>402011</v>
      </c>
      <c r="E1664" t="s">
        <v>54</v>
      </c>
      <c r="F1664">
        <v>430007</v>
      </c>
      <c r="G1664" t="s">
        <v>55</v>
      </c>
      <c r="H1664">
        <v>43</v>
      </c>
      <c r="I1664" t="s">
        <v>56</v>
      </c>
      <c r="J1664">
        <v>6</v>
      </c>
      <c r="K1664" s="4">
        <v>62500</v>
      </c>
      <c r="L1664" s="4">
        <v>375000</v>
      </c>
      <c r="M1664" t="s">
        <v>472</v>
      </c>
    </row>
    <row r="1665" spans="2:13" ht="12.75">
      <c r="B1665" t="str">
        <f t="shared" si="79"/>
        <v>5798</v>
      </c>
      <c r="C1665" t="s">
        <v>468</v>
      </c>
      <c r="D1665">
        <v>402604</v>
      </c>
      <c r="E1665" t="s">
        <v>97</v>
      </c>
      <c r="F1665">
        <v>20001</v>
      </c>
      <c r="G1665" t="s">
        <v>29</v>
      </c>
      <c r="H1665">
        <v>2</v>
      </c>
      <c r="I1665" t="s">
        <v>30</v>
      </c>
      <c r="J1665">
        <v>41</v>
      </c>
      <c r="K1665" s="4">
        <v>300</v>
      </c>
      <c r="L1665" s="4">
        <v>12300</v>
      </c>
      <c r="M1665" t="s">
        <v>473</v>
      </c>
    </row>
    <row r="1666" spans="2:13" ht="12.75">
      <c r="B1666" t="str">
        <f t="shared" si="79"/>
        <v>5798</v>
      </c>
      <c r="C1666" t="s">
        <v>468</v>
      </c>
      <c r="D1666">
        <v>402604</v>
      </c>
      <c r="E1666" t="s">
        <v>97</v>
      </c>
      <c r="F1666">
        <v>60004</v>
      </c>
      <c r="G1666" t="s">
        <v>33</v>
      </c>
      <c r="H1666">
        <v>6</v>
      </c>
      <c r="I1666" t="s">
        <v>32</v>
      </c>
      <c r="J1666">
        <v>1</v>
      </c>
      <c r="K1666" s="4">
        <v>12000</v>
      </c>
      <c r="L1666" s="4">
        <v>12000</v>
      </c>
      <c r="M1666" t="s">
        <v>474</v>
      </c>
    </row>
    <row r="1667" spans="2:13" ht="12.75">
      <c r="B1667" t="str">
        <f t="shared" si="79"/>
        <v>5798</v>
      </c>
      <c r="C1667" t="s">
        <v>468</v>
      </c>
      <c r="D1667">
        <v>402604</v>
      </c>
      <c r="E1667" t="s">
        <v>97</v>
      </c>
      <c r="F1667">
        <v>100009</v>
      </c>
      <c r="G1667" t="s">
        <v>299</v>
      </c>
      <c r="H1667">
        <v>10</v>
      </c>
      <c r="I1667" t="s">
        <v>35</v>
      </c>
      <c r="J1667">
        <v>1</v>
      </c>
      <c r="K1667" s="4">
        <v>416616</v>
      </c>
      <c r="L1667" s="4">
        <v>416616</v>
      </c>
      <c r="M1667" t="s">
        <v>475</v>
      </c>
    </row>
    <row r="1668" spans="2:13" ht="12.75">
      <c r="B1668" t="str">
        <f t="shared" si="79"/>
        <v>5798</v>
      </c>
      <c r="C1668" t="s">
        <v>468</v>
      </c>
      <c r="D1668">
        <v>420202</v>
      </c>
      <c r="E1668" t="s">
        <v>19</v>
      </c>
      <c r="F1668">
        <v>20001</v>
      </c>
      <c r="G1668" t="s">
        <v>29</v>
      </c>
      <c r="H1668">
        <v>2</v>
      </c>
      <c r="I1668" t="s">
        <v>30</v>
      </c>
      <c r="J1668">
        <v>30</v>
      </c>
      <c r="K1668" s="4">
        <v>1251</v>
      </c>
      <c r="L1668" s="4">
        <v>37530</v>
      </c>
      <c r="M1668" t="s">
        <v>476</v>
      </c>
    </row>
    <row r="1669" spans="2:13" ht="12.75">
      <c r="B1669" t="str">
        <f t="shared" si="79"/>
        <v>5798</v>
      </c>
      <c r="C1669" t="s">
        <v>468</v>
      </c>
      <c r="D1669">
        <v>420202</v>
      </c>
      <c r="E1669" t="s">
        <v>19</v>
      </c>
      <c r="F1669">
        <v>80003</v>
      </c>
      <c r="G1669" t="s">
        <v>75</v>
      </c>
      <c r="H1669">
        <v>8</v>
      </c>
      <c r="I1669" t="s">
        <v>76</v>
      </c>
      <c r="J1669">
        <v>1</v>
      </c>
      <c r="K1669" s="4">
        <v>14320</v>
      </c>
      <c r="L1669" s="4">
        <v>14320</v>
      </c>
      <c r="M1669" t="s">
        <v>477</v>
      </c>
    </row>
    <row r="1670" spans="2:13" ht="12.75">
      <c r="B1670" t="str">
        <f t="shared" si="79"/>
        <v>5798</v>
      </c>
      <c r="C1670" t="s">
        <v>468</v>
      </c>
      <c r="D1670">
        <v>420202</v>
      </c>
      <c r="E1670" t="s">
        <v>19</v>
      </c>
      <c r="F1670">
        <v>80004</v>
      </c>
      <c r="G1670" t="s">
        <v>25</v>
      </c>
      <c r="H1670">
        <v>8</v>
      </c>
      <c r="I1670" t="s">
        <v>76</v>
      </c>
      <c r="J1670">
        <v>1</v>
      </c>
      <c r="K1670" s="4">
        <v>3200</v>
      </c>
      <c r="L1670" s="4">
        <v>3200</v>
      </c>
      <c r="M1670" t="s">
        <v>478</v>
      </c>
    </row>
    <row r="1671" spans="2:13" ht="12.75">
      <c r="B1671" t="str">
        <f t="shared" si="79"/>
        <v>5798</v>
      </c>
      <c r="C1671" t="s">
        <v>468</v>
      </c>
      <c r="D1671">
        <v>420202</v>
      </c>
      <c r="E1671" t="s">
        <v>19</v>
      </c>
      <c r="F1671">
        <v>100008</v>
      </c>
      <c r="G1671" t="s">
        <v>296</v>
      </c>
      <c r="H1671">
        <v>10</v>
      </c>
      <c r="I1671" t="s">
        <v>35</v>
      </c>
      <c r="J1671">
        <v>1</v>
      </c>
      <c r="K1671" s="4">
        <v>44500</v>
      </c>
      <c r="L1671" s="4">
        <v>44500</v>
      </c>
      <c r="M1671" t="s">
        <v>479</v>
      </c>
    </row>
    <row r="1672" spans="2:13" ht="12.75">
      <c r="B1672" t="str">
        <f t="shared" si="79"/>
        <v>5798</v>
      </c>
      <c r="C1672" t="s">
        <v>468</v>
      </c>
      <c r="D1672">
        <v>420202</v>
      </c>
      <c r="E1672" t="s">
        <v>19</v>
      </c>
      <c r="F1672">
        <v>280006</v>
      </c>
      <c r="G1672" t="s">
        <v>25</v>
      </c>
      <c r="H1672">
        <v>28</v>
      </c>
      <c r="I1672" t="s">
        <v>297</v>
      </c>
      <c r="J1672">
        <v>1</v>
      </c>
      <c r="K1672" s="4">
        <v>18500</v>
      </c>
      <c r="L1672" s="4">
        <v>18500</v>
      </c>
      <c r="M1672" t="s">
        <v>480</v>
      </c>
    </row>
    <row r="1673" spans="2:13" ht="12.75">
      <c r="B1673" t="str">
        <f t="shared" si="79"/>
        <v>5798</v>
      </c>
      <c r="C1673" t="s">
        <v>468</v>
      </c>
      <c r="D1673">
        <v>420202</v>
      </c>
      <c r="E1673" t="s">
        <v>19</v>
      </c>
      <c r="F1673">
        <v>400004</v>
      </c>
      <c r="G1673" t="s">
        <v>23</v>
      </c>
      <c r="H1673">
        <v>40</v>
      </c>
      <c r="I1673" t="s">
        <v>50</v>
      </c>
      <c r="J1673">
        <v>1</v>
      </c>
      <c r="K1673" s="4">
        <v>15000</v>
      </c>
      <c r="L1673" s="4">
        <v>15000</v>
      </c>
      <c r="M1673" t="s">
        <v>481</v>
      </c>
    </row>
    <row r="1674" spans="2:13" ht="12.75">
      <c r="B1674" t="str">
        <f t="shared" si="79"/>
        <v>5798</v>
      </c>
      <c r="C1674" t="s">
        <v>468</v>
      </c>
      <c r="D1674">
        <v>420202</v>
      </c>
      <c r="E1674" t="s">
        <v>19</v>
      </c>
      <c r="F1674">
        <v>400012</v>
      </c>
      <c r="G1674" t="s">
        <v>90</v>
      </c>
      <c r="H1674">
        <v>40</v>
      </c>
      <c r="I1674" t="s">
        <v>50</v>
      </c>
      <c r="J1674">
        <v>1</v>
      </c>
      <c r="K1674" s="4">
        <v>4520</v>
      </c>
      <c r="L1674" s="4">
        <v>4520</v>
      </c>
      <c r="M1674" t="s">
        <v>482</v>
      </c>
    </row>
    <row r="1675" spans="2:13" ht="12.75">
      <c r="B1675" t="str">
        <f t="shared" si="79"/>
        <v>5798</v>
      </c>
      <c r="C1675" t="s">
        <v>468</v>
      </c>
      <c r="D1675">
        <v>420248</v>
      </c>
      <c r="E1675" t="s">
        <v>36</v>
      </c>
      <c r="F1675">
        <v>400014</v>
      </c>
      <c r="G1675" t="s">
        <v>38</v>
      </c>
      <c r="H1675">
        <v>40</v>
      </c>
      <c r="I1675" t="s">
        <v>50</v>
      </c>
      <c r="J1675">
        <v>1</v>
      </c>
      <c r="K1675" s="4">
        <v>90000</v>
      </c>
      <c r="L1675" s="4">
        <v>90000</v>
      </c>
      <c r="M1675" t="s">
        <v>483</v>
      </c>
    </row>
    <row r="1676" spans="2:13" ht="12.75">
      <c r="B1676" t="str">
        <f t="shared" si="79"/>
        <v>5798</v>
      </c>
      <c r="C1676" t="s">
        <v>468</v>
      </c>
      <c r="D1676">
        <v>420249</v>
      </c>
      <c r="E1676" t="s">
        <v>39</v>
      </c>
      <c r="F1676">
        <v>390004</v>
      </c>
      <c r="G1676" t="s">
        <v>470</v>
      </c>
      <c r="H1676">
        <v>39</v>
      </c>
      <c r="I1676" t="s">
        <v>141</v>
      </c>
      <c r="J1676">
        <v>3</v>
      </c>
      <c r="K1676" s="4">
        <v>264507</v>
      </c>
      <c r="L1676" s="4">
        <v>793521</v>
      </c>
      <c r="M1676" t="s">
        <v>484</v>
      </c>
    </row>
    <row r="1677" spans="2:13" ht="12.75">
      <c r="B1677" t="str">
        <f t="shared" si="79"/>
        <v>5798</v>
      </c>
      <c r="C1677" t="s">
        <v>468</v>
      </c>
      <c r="D1677">
        <v>420703</v>
      </c>
      <c r="E1677" t="s">
        <v>51</v>
      </c>
      <c r="F1677">
        <v>130007</v>
      </c>
      <c r="G1677" t="s">
        <v>25</v>
      </c>
      <c r="H1677">
        <v>13</v>
      </c>
      <c r="I1677" t="s">
        <v>137</v>
      </c>
      <c r="J1677">
        <v>1</v>
      </c>
      <c r="K1677" s="4">
        <v>14685</v>
      </c>
      <c r="L1677" s="4">
        <v>14685</v>
      </c>
      <c r="M1677" t="s">
        <v>485</v>
      </c>
    </row>
    <row r="1678" spans="2:13" ht="12.75">
      <c r="B1678" t="str">
        <f t="shared" si="79"/>
        <v>5798</v>
      </c>
      <c r="C1678" t="s">
        <v>468</v>
      </c>
      <c r="D1678">
        <v>420806</v>
      </c>
      <c r="E1678" t="s">
        <v>122</v>
      </c>
      <c r="F1678">
        <v>380001</v>
      </c>
      <c r="G1678" t="s">
        <v>25</v>
      </c>
      <c r="H1678">
        <v>38</v>
      </c>
      <c r="I1678" t="s">
        <v>264</v>
      </c>
      <c r="J1678">
        <v>1</v>
      </c>
      <c r="K1678" s="4">
        <v>32000</v>
      </c>
      <c r="L1678" s="4">
        <v>32000</v>
      </c>
      <c r="M1678" t="s">
        <v>486</v>
      </c>
    </row>
    <row r="1679" spans="2:13" ht="12.75">
      <c r="B1679" t="str">
        <f t="shared" si="79"/>
        <v>5798</v>
      </c>
      <c r="C1679" t="s">
        <v>468</v>
      </c>
      <c r="D1679">
        <v>420806</v>
      </c>
      <c r="E1679" t="s">
        <v>122</v>
      </c>
      <c r="F1679">
        <v>380001</v>
      </c>
      <c r="G1679" t="s">
        <v>25</v>
      </c>
      <c r="H1679">
        <v>38</v>
      </c>
      <c r="I1679" t="s">
        <v>264</v>
      </c>
      <c r="J1679">
        <v>1</v>
      </c>
      <c r="K1679" s="4">
        <v>21000</v>
      </c>
      <c r="L1679" s="4">
        <v>21000</v>
      </c>
      <c r="M1679" t="s">
        <v>487</v>
      </c>
    </row>
    <row r="1680" spans="2:13" ht="12.75">
      <c r="B1680" t="str">
        <f aca="true" t="shared" si="80" ref="B1680:B1688">"5832"</f>
        <v>5832</v>
      </c>
      <c r="C1680" t="s">
        <v>488</v>
      </c>
      <c r="D1680">
        <v>402514</v>
      </c>
      <c r="E1680" t="s">
        <v>45</v>
      </c>
      <c r="F1680">
        <v>310007</v>
      </c>
      <c r="G1680" t="s">
        <v>82</v>
      </c>
      <c r="H1680">
        <v>31</v>
      </c>
      <c r="I1680" t="s">
        <v>26</v>
      </c>
      <c r="J1680">
        <v>1840</v>
      </c>
      <c r="K1680" s="4">
        <v>125</v>
      </c>
      <c r="L1680" s="4">
        <v>230000</v>
      </c>
      <c r="M1680" t="s">
        <v>489</v>
      </c>
    </row>
    <row r="1681" spans="2:13" ht="12.75">
      <c r="B1681" t="str">
        <f t="shared" si="80"/>
        <v>5832</v>
      </c>
      <c r="C1681" t="s">
        <v>488</v>
      </c>
      <c r="D1681">
        <v>402514</v>
      </c>
      <c r="E1681" t="s">
        <v>45</v>
      </c>
      <c r="F1681">
        <v>310007</v>
      </c>
      <c r="G1681" t="s">
        <v>82</v>
      </c>
      <c r="H1681">
        <v>31</v>
      </c>
      <c r="I1681" t="s">
        <v>26</v>
      </c>
      <c r="J1681">
        <v>1</v>
      </c>
      <c r="K1681" s="4">
        <v>110000</v>
      </c>
      <c r="L1681" s="4">
        <v>110000</v>
      </c>
      <c r="M1681" t="s">
        <v>25</v>
      </c>
    </row>
    <row r="1682" spans="2:12" ht="12.75">
      <c r="B1682" t="str">
        <f t="shared" si="80"/>
        <v>5832</v>
      </c>
      <c r="C1682" t="s">
        <v>488</v>
      </c>
      <c r="D1682">
        <v>402514</v>
      </c>
      <c r="E1682" t="s">
        <v>45</v>
      </c>
      <c r="F1682">
        <v>310007</v>
      </c>
      <c r="G1682" t="s">
        <v>82</v>
      </c>
      <c r="H1682">
        <v>31</v>
      </c>
      <c r="I1682" t="s">
        <v>26</v>
      </c>
      <c r="J1682">
        <v>1</v>
      </c>
      <c r="K1682" s="4">
        <v>12955</v>
      </c>
      <c r="L1682" s="4">
        <v>12955</v>
      </c>
    </row>
    <row r="1683" spans="2:12" ht="12.75">
      <c r="B1683" t="str">
        <f t="shared" si="80"/>
        <v>5832</v>
      </c>
      <c r="C1683" t="s">
        <v>488</v>
      </c>
      <c r="D1683">
        <v>402514</v>
      </c>
      <c r="E1683" t="s">
        <v>45</v>
      </c>
      <c r="F1683">
        <v>310007</v>
      </c>
      <c r="G1683" t="s">
        <v>82</v>
      </c>
      <c r="H1683">
        <v>31</v>
      </c>
      <c r="I1683" t="s">
        <v>26</v>
      </c>
      <c r="J1683">
        <v>1</v>
      </c>
      <c r="K1683" s="4">
        <v>42682</v>
      </c>
      <c r="L1683" s="4">
        <v>42682</v>
      </c>
    </row>
    <row r="1684" spans="2:12" ht="12.75">
      <c r="B1684" t="str">
        <f t="shared" si="80"/>
        <v>5832</v>
      </c>
      <c r="C1684" t="s">
        <v>488</v>
      </c>
      <c r="D1684">
        <v>402514</v>
      </c>
      <c r="E1684" t="s">
        <v>45</v>
      </c>
      <c r="F1684">
        <v>310007</v>
      </c>
      <c r="G1684" t="s">
        <v>82</v>
      </c>
      <c r="H1684">
        <v>31</v>
      </c>
      <c r="I1684" t="s">
        <v>26</v>
      </c>
      <c r="J1684">
        <v>1</v>
      </c>
      <c r="K1684" s="4">
        <v>13276</v>
      </c>
      <c r="L1684" s="4">
        <v>13276</v>
      </c>
    </row>
    <row r="1685" spans="2:12" ht="12.75">
      <c r="B1685" t="str">
        <f t="shared" si="80"/>
        <v>5832</v>
      </c>
      <c r="C1685" t="s">
        <v>488</v>
      </c>
      <c r="D1685">
        <v>402515</v>
      </c>
      <c r="E1685" t="s">
        <v>15</v>
      </c>
      <c r="F1685">
        <v>390002</v>
      </c>
      <c r="G1685" t="s">
        <v>307</v>
      </c>
      <c r="H1685">
        <v>39</v>
      </c>
      <c r="I1685" t="s">
        <v>141</v>
      </c>
      <c r="J1685">
        <v>1</v>
      </c>
      <c r="K1685" s="4">
        <v>4000</v>
      </c>
      <c r="L1685" s="4">
        <v>4000</v>
      </c>
    </row>
    <row r="1686" spans="2:12" ht="12.75">
      <c r="B1686" t="str">
        <f t="shared" si="80"/>
        <v>5832</v>
      </c>
      <c r="C1686" t="s">
        <v>488</v>
      </c>
      <c r="D1686">
        <v>402515</v>
      </c>
      <c r="E1686" t="s">
        <v>15</v>
      </c>
      <c r="F1686">
        <v>390002</v>
      </c>
      <c r="G1686" t="s">
        <v>307</v>
      </c>
      <c r="H1686">
        <v>39</v>
      </c>
      <c r="I1686" t="s">
        <v>141</v>
      </c>
      <c r="J1686">
        <v>1</v>
      </c>
      <c r="K1686" s="4">
        <v>15000</v>
      </c>
      <c r="L1686" s="4">
        <v>15000</v>
      </c>
    </row>
    <row r="1687" spans="2:12" ht="12.75">
      <c r="B1687" t="str">
        <f t="shared" si="80"/>
        <v>5832</v>
      </c>
      <c r="C1687" t="s">
        <v>488</v>
      </c>
      <c r="D1687">
        <v>420202</v>
      </c>
      <c r="E1687" t="s">
        <v>19</v>
      </c>
      <c r="F1687">
        <v>110005</v>
      </c>
      <c r="G1687" t="s">
        <v>490</v>
      </c>
      <c r="H1687">
        <v>11</v>
      </c>
      <c r="I1687" t="s">
        <v>491</v>
      </c>
      <c r="J1687">
        <v>1</v>
      </c>
      <c r="K1687" s="4">
        <v>14000</v>
      </c>
      <c r="L1687" s="4">
        <v>14000</v>
      </c>
    </row>
    <row r="1688" spans="2:12" ht="12.75">
      <c r="B1688" t="str">
        <f t="shared" si="80"/>
        <v>5832</v>
      </c>
      <c r="C1688" t="s">
        <v>488</v>
      </c>
      <c r="D1688">
        <v>420703</v>
      </c>
      <c r="E1688" t="s">
        <v>51</v>
      </c>
      <c r="F1688">
        <v>310006</v>
      </c>
      <c r="G1688" t="s">
        <v>204</v>
      </c>
      <c r="H1688">
        <v>31</v>
      </c>
      <c r="I1688" t="s">
        <v>26</v>
      </c>
      <c r="J1688">
        <v>1</v>
      </c>
      <c r="K1688" s="4">
        <v>22200</v>
      </c>
      <c r="L1688" s="4">
        <v>22200</v>
      </c>
    </row>
    <row r="1689" spans="2:12" ht="12.75">
      <c r="B1689" t="str">
        <f aca="true" t="shared" si="81" ref="B1689:B1708">"6863"</f>
        <v>6863</v>
      </c>
      <c r="C1689" t="s">
        <v>492</v>
      </c>
      <c r="D1689">
        <v>402007</v>
      </c>
      <c r="E1689" t="s">
        <v>41</v>
      </c>
      <c r="F1689">
        <v>410004</v>
      </c>
      <c r="G1689" t="s">
        <v>265</v>
      </c>
      <c r="H1689">
        <v>41</v>
      </c>
      <c r="I1689" t="s">
        <v>14</v>
      </c>
      <c r="J1689">
        <v>1</v>
      </c>
      <c r="K1689" s="4">
        <v>15000</v>
      </c>
      <c r="L1689" s="4">
        <v>15000</v>
      </c>
    </row>
    <row r="1690" spans="2:12" ht="12.75">
      <c r="B1690" t="str">
        <f t="shared" si="81"/>
        <v>6863</v>
      </c>
      <c r="C1690" t="s">
        <v>492</v>
      </c>
      <c r="D1690">
        <v>402007</v>
      </c>
      <c r="E1690" t="s">
        <v>41</v>
      </c>
      <c r="F1690">
        <v>410004</v>
      </c>
      <c r="G1690" t="s">
        <v>265</v>
      </c>
      <c r="H1690">
        <v>41</v>
      </c>
      <c r="I1690" t="s">
        <v>14</v>
      </c>
      <c r="J1690">
        <v>1</v>
      </c>
      <c r="K1690" s="4">
        <v>18000</v>
      </c>
      <c r="L1690" s="4">
        <v>18000</v>
      </c>
    </row>
    <row r="1691" spans="2:12" ht="12.75">
      <c r="B1691" t="str">
        <f t="shared" si="81"/>
        <v>6863</v>
      </c>
      <c r="C1691" t="s">
        <v>492</v>
      </c>
      <c r="D1691">
        <v>402007</v>
      </c>
      <c r="E1691" t="s">
        <v>41</v>
      </c>
      <c r="F1691">
        <v>410004</v>
      </c>
      <c r="G1691" t="s">
        <v>265</v>
      </c>
      <c r="H1691">
        <v>41</v>
      </c>
      <c r="I1691" t="s">
        <v>14</v>
      </c>
      <c r="J1691">
        <v>1</v>
      </c>
      <c r="K1691" s="4">
        <v>127500</v>
      </c>
      <c r="L1691" s="4">
        <v>127500</v>
      </c>
    </row>
    <row r="1692" spans="2:12" ht="12.75">
      <c r="B1692" t="str">
        <f t="shared" si="81"/>
        <v>6863</v>
      </c>
      <c r="C1692" t="s">
        <v>492</v>
      </c>
      <c r="D1692">
        <v>402515</v>
      </c>
      <c r="E1692" t="s">
        <v>15</v>
      </c>
      <c r="F1692">
        <v>410004</v>
      </c>
      <c r="G1692" t="s">
        <v>265</v>
      </c>
      <c r="H1692">
        <v>41</v>
      </c>
      <c r="I1692" t="s">
        <v>14</v>
      </c>
      <c r="J1692">
        <v>1</v>
      </c>
      <c r="K1692" s="4">
        <v>110000</v>
      </c>
      <c r="L1692" s="4">
        <v>110000</v>
      </c>
    </row>
    <row r="1693" spans="2:12" ht="12.75">
      <c r="B1693" t="str">
        <f t="shared" si="81"/>
        <v>6863</v>
      </c>
      <c r="C1693" t="s">
        <v>492</v>
      </c>
      <c r="D1693">
        <v>402515</v>
      </c>
      <c r="E1693" t="s">
        <v>15</v>
      </c>
      <c r="F1693">
        <v>410004</v>
      </c>
      <c r="G1693" t="s">
        <v>265</v>
      </c>
      <c r="H1693">
        <v>41</v>
      </c>
      <c r="I1693" t="s">
        <v>14</v>
      </c>
      <c r="J1693">
        <v>1</v>
      </c>
      <c r="K1693" s="4">
        <v>185000</v>
      </c>
      <c r="L1693" s="4">
        <v>185000</v>
      </c>
    </row>
    <row r="1694" spans="2:12" ht="12.75">
      <c r="B1694" t="str">
        <f t="shared" si="81"/>
        <v>6863</v>
      </c>
      <c r="C1694" t="s">
        <v>492</v>
      </c>
      <c r="D1694">
        <v>402515</v>
      </c>
      <c r="E1694" t="s">
        <v>15</v>
      </c>
      <c r="F1694">
        <v>410004</v>
      </c>
      <c r="G1694" t="s">
        <v>265</v>
      </c>
      <c r="H1694">
        <v>41</v>
      </c>
      <c r="I1694" t="s">
        <v>14</v>
      </c>
      <c r="J1694">
        <v>1</v>
      </c>
      <c r="K1694" s="4">
        <v>282971</v>
      </c>
      <c r="L1694" s="4">
        <v>282971</v>
      </c>
    </row>
    <row r="1695" spans="2:12" ht="12.75">
      <c r="B1695" t="str">
        <f t="shared" si="81"/>
        <v>6863</v>
      </c>
      <c r="C1695" t="s">
        <v>492</v>
      </c>
      <c r="D1695">
        <v>402515</v>
      </c>
      <c r="E1695" t="s">
        <v>15</v>
      </c>
      <c r="F1695">
        <v>410004</v>
      </c>
      <c r="G1695" t="s">
        <v>265</v>
      </c>
      <c r="H1695">
        <v>41</v>
      </c>
      <c r="I1695" t="s">
        <v>14</v>
      </c>
      <c r="J1695">
        <v>1</v>
      </c>
      <c r="K1695" s="4">
        <v>247500</v>
      </c>
      <c r="L1695" s="4">
        <v>247500</v>
      </c>
    </row>
    <row r="1696" spans="2:12" ht="12.75">
      <c r="B1696" t="str">
        <f t="shared" si="81"/>
        <v>6863</v>
      </c>
      <c r="C1696" t="s">
        <v>492</v>
      </c>
      <c r="D1696">
        <v>402941</v>
      </c>
      <c r="E1696" t="s">
        <v>98</v>
      </c>
      <c r="F1696">
        <v>440001</v>
      </c>
      <c r="G1696" t="s">
        <v>192</v>
      </c>
      <c r="H1696">
        <v>44</v>
      </c>
      <c r="I1696" t="s">
        <v>99</v>
      </c>
      <c r="J1696">
        <v>1</v>
      </c>
      <c r="K1696" s="4">
        <v>0</v>
      </c>
      <c r="L1696" s="4">
        <v>0</v>
      </c>
    </row>
    <row r="1697" spans="2:12" ht="12.75">
      <c r="B1697" t="str">
        <f t="shared" si="81"/>
        <v>6863</v>
      </c>
      <c r="C1697" t="s">
        <v>492</v>
      </c>
      <c r="D1697">
        <v>420202</v>
      </c>
      <c r="E1697" t="s">
        <v>19</v>
      </c>
      <c r="F1697">
        <v>410006</v>
      </c>
      <c r="G1697" t="s">
        <v>148</v>
      </c>
      <c r="H1697">
        <v>41</v>
      </c>
      <c r="I1697" t="s">
        <v>14</v>
      </c>
      <c r="J1697">
        <v>1</v>
      </c>
      <c r="K1697" s="4">
        <v>54000</v>
      </c>
      <c r="L1697" s="4">
        <v>54000</v>
      </c>
    </row>
    <row r="1698" spans="2:12" ht="12.75">
      <c r="B1698" t="str">
        <f t="shared" si="81"/>
        <v>6863</v>
      </c>
      <c r="C1698" t="s">
        <v>492</v>
      </c>
      <c r="D1698">
        <v>420202</v>
      </c>
      <c r="E1698" t="s">
        <v>19</v>
      </c>
      <c r="F1698">
        <v>410006</v>
      </c>
      <c r="G1698" t="s">
        <v>148</v>
      </c>
      <c r="H1698">
        <v>41</v>
      </c>
      <c r="I1698" t="s">
        <v>14</v>
      </c>
      <c r="J1698">
        <v>1</v>
      </c>
      <c r="K1698" s="4">
        <v>226216</v>
      </c>
      <c r="L1698" s="4">
        <v>226216</v>
      </c>
    </row>
    <row r="1699" spans="2:12" ht="12.75">
      <c r="B1699" t="str">
        <f t="shared" si="81"/>
        <v>6863</v>
      </c>
      <c r="C1699" t="s">
        <v>492</v>
      </c>
      <c r="D1699">
        <v>420202</v>
      </c>
      <c r="E1699" t="s">
        <v>19</v>
      </c>
      <c r="F1699">
        <v>410006</v>
      </c>
      <c r="G1699" t="s">
        <v>148</v>
      </c>
      <c r="H1699">
        <v>41</v>
      </c>
      <c r="I1699" t="s">
        <v>14</v>
      </c>
      <c r="J1699">
        <v>1</v>
      </c>
      <c r="K1699" s="4">
        <v>90000</v>
      </c>
      <c r="L1699" s="4">
        <v>90000</v>
      </c>
    </row>
    <row r="1700" spans="2:12" ht="12.75">
      <c r="B1700" t="str">
        <f t="shared" si="81"/>
        <v>6863</v>
      </c>
      <c r="C1700" t="s">
        <v>492</v>
      </c>
      <c r="D1700">
        <v>420202</v>
      </c>
      <c r="E1700" t="s">
        <v>19</v>
      </c>
      <c r="F1700">
        <v>410006</v>
      </c>
      <c r="G1700" t="s">
        <v>148</v>
      </c>
      <c r="H1700">
        <v>41</v>
      </c>
      <c r="I1700" t="s">
        <v>14</v>
      </c>
      <c r="J1700">
        <v>1</v>
      </c>
      <c r="K1700" s="4">
        <v>148500</v>
      </c>
      <c r="L1700" s="4">
        <v>148500</v>
      </c>
    </row>
    <row r="1701" spans="2:12" ht="12.75">
      <c r="B1701" t="str">
        <f t="shared" si="81"/>
        <v>6863</v>
      </c>
      <c r="C1701" t="s">
        <v>492</v>
      </c>
      <c r="D1701">
        <v>420704</v>
      </c>
      <c r="E1701" t="s">
        <v>24</v>
      </c>
      <c r="F1701">
        <v>410006</v>
      </c>
      <c r="G1701" t="s">
        <v>148</v>
      </c>
      <c r="H1701">
        <v>41</v>
      </c>
      <c r="I1701" t="s">
        <v>14</v>
      </c>
      <c r="J1701">
        <v>1</v>
      </c>
      <c r="K1701" s="4">
        <v>421000</v>
      </c>
      <c r="L1701" s="4">
        <v>421000</v>
      </c>
    </row>
    <row r="1702" spans="2:12" ht="12.75">
      <c r="B1702" t="str">
        <f t="shared" si="81"/>
        <v>6863</v>
      </c>
      <c r="C1702" t="s">
        <v>492</v>
      </c>
      <c r="D1702">
        <v>420704</v>
      </c>
      <c r="E1702" t="s">
        <v>24</v>
      </c>
      <c r="F1702">
        <v>410006</v>
      </c>
      <c r="G1702" t="s">
        <v>148</v>
      </c>
      <c r="H1702">
        <v>41</v>
      </c>
      <c r="I1702" t="s">
        <v>14</v>
      </c>
      <c r="J1702">
        <v>1</v>
      </c>
      <c r="K1702" s="4">
        <v>2022297</v>
      </c>
      <c r="L1702" s="4">
        <v>2022297</v>
      </c>
    </row>
    <row r="1703" spans="2:12" ht="12.75">
      <c r="B1703" t="str">
        <f t="shared" si="81"/>
        <v>6863</v>
      </c>
      <c r="C1703" t="s">
        <v>492</v>
      </c>
      <c r="D1703">
        <v>420704</v>
      </c>
      <c r="E1703" t="s">
        <v>24</v>
      </c>
      <c r="F1703">
        <v>410006</v>
      </c>
      <c r="G1703" t="s">
        <v>148</v>
      </c>
      <c r="H1703">
        <v>41</v>
      </c>
      <c r="I1703" t="s">
        <v>14</v>
      </c>
      <c r="J1703">
        <v>1</v>
      </c>
      <c r="K1703" s="4">
        <v>499529</v>
      </c>
      <c r="L1703" s="4">
        <v>499529</v>
      </c>
    </row>
    <row r="1704" spans="2:12" ht="12.75">
      <c r="B1704" t="str">
        <f t="shared" si="81"/>
        <v>6863</v>
      </c>
      <c r="C1704" t="s">
        <v>492</v>
      </c>
      <c r="D1704">
        <v>420704</v>
      </c>
      <c r="E1704" t="s">
        <v>24</v>
      </c>
      <c r="F1704">
        <v>410006</v>
      </c>
      <c r="G1704" t="s">
        <v>148</v>
      </c>
      <c r="H1704">
        <v>41</v>
      </c>
      <c r="I1704" t="s">
        <v>14</v>
      </c>
      <c r="J1704">
        <v>1</v>
      </c>
      <c r="K1704" s="4">
        <v>1154000</v>
      </c>
      <c r="L1704" s="4">
        <v>1154000</v>
      </c>
    </row>
    <row r="1705" spans="2:12" ht="12.75">
      <c r="B1705" t="str">
        <f t="shared" si="81"/>
        <v>6863</v>
      </c>
      <c r="C1705" t="s">
        <v>492</v>
      </c>
      <c r="D1705">
        <v>420806</v>
      </c>
      <c r="E1705" t="s">
        <v>122</v>
      </c>
      <c r="F1705">
        <v>360012</v>
      </c>
      <c r="G1705" t="s">
        <v>231</v>
      </c>
      <c r="H1705">
        <v>36</v>
      </c>
      <c r="I1705" t="s">
        <v>124</v>
      </c>
      <c r="J1705">
        <v>1</v>
      </c>
      <c r="K1705" s="4">
        <v>0</v>
      </c>
      <c r="L1705" s="4">
        <v>0</v>
      </c>
    </row>
    <row r="1706" spans="2:12" ht="12.75">
      <c r="B1706" t="str">
        <f t="shared" si="81"/>
        <v>6863</v>
      </c>
      <c r="C1706" t="s">
        <v>492</v>
      </c>
      <c r="D1706">
        <v>420806</v>
      </c>
      <c r="E1706" t="s">
        <v>122</v>
      </c>
      <c r="F1706">
        <v>360012</v>
      </c>
      <c r="G1706" t="s">
        <v>231</v>
      </c>
      <c r="H1706">
        <v>36</v>
      </c>
      <c r="I1706" t="s">
        <v>124</v>
      </c>
      <c r="J1706">
        <v>1</v>
      </c>
      <c r="K1706" s="4">
        <v>62000</v>
      </c>
      <c r="L1706" s="4">
        <v>62000</v>
      </c>
    </row>
    <row r="1707" spans="2:12" ht="12.75">
      <c r="B1707" t="str">
        <f t="shared" si="81"/>
        <v>6863</v>
      </c>
      <c r="C1707" t="s">
        <v>492</v>
      </c>
      <c r="D1707">
        <v>420806</v>
      </c>
      <c r="E1707" t="s">
        <v>122</v>
      </c>
      <c r="F1707">
        <v>360012</v>
      </c>
      <c r="G1707" t="s">
        <v>231</v>
      </c>
      <c r="H1707">
        <v>36</v>
      </c>
      <c r="I1707" t="s">
        <v>124</v>
      </c>
      <c r="J1707">
        <v>1</v>
      </c>
      <c r="K1707" s="4">
        <v>0</v>
      </c>
      <c r="L1707" s="4">
        <v>0</v>
      </c>
    </row>
    <row r="1708" spans="2:12" ht="12.75">
      <c r="B1708" t="str">
        <f t="shared" si="81"/>
        <v>6863</v>
      </c>
      <c r="C1708" t="s">
        <v>492</v>
      </c>
      <c r="D1708">
        <v>420806</v>
      </c>
      <c r="E1708" t="s">
        <v>122</v>
      </c>
      <c r="F1708">
        <v>360012</v>
      </c>
      <c r="G1708" t="s">
        <v>231</v>
      </c>
      <c r="H1708">
        <v>36</v>
      </c>
      <c r="I1708" t="s">
        <v>124</v>
      </c>
      <c r="J1708">
        <v>1</v>
      </c>
      <c r="K1708" s="4">
        <v>100000</v>
      </c>
      <c r="L1708" s="4">
        <v>100000</v>
      </c>
    </row>
    <row r="1709" spans="2:12" ht="12.75">
      <c r="B1709" t="str">
        <f aca="true" t="shared" si="82" ref="B1709:B1727">"6999"</f>
        <v>6999</v>
      </c>
      <c r="C1709" t="s">
        <v>493</v>
      </c>
      <c r="D1709">
        <v>402007</v>
      </c>
      <c r="E1709" t="s">
        <v>41</v>
      </c>
      <c r="F1709">
        <v>410004</v>
      </c>
      <c r="G1709" t="s">
        <v>265</v>
      </c>
      <c r="H1709">
        <v>41</v>
      </c>
      <c r="I1709" t="s">
        <v>14</v>
      </c>
      <c r="J1709">
        <v>1</v>
      </c>
      <c r="K1709" s="4">
        <v>2647</v>
      </c>
      <c r="L1709" s="4">
        <v>2647</v>
      </c>
    </row>
    <row r="1710" spans="2:12" ht="12.75">
      <c r="B1710" t="str">
        <f t="shared" si="82"/>
        <v>6999</v>
      </c>
      <c r="C1710" t="s">
        <v>493</v>
      </c>
      <c r="D1710">
        <v>402007</v>
      </c>
      <c r="E1710" t="s">
        <v>41</v>
      </c>
      <c r="F1710">
        <v>410004</v>
      </c>
      <c r="G1710" t="s">
        <v>265</v>
      </c>
      <c r="H1710">
        <v>41</v>
      </c>
      <c r="I1710" t="s">
        <v>14</v>
      </c>
      <c r="J1710">
        <v>1</v>
      </c>
      <c r="K1710" s="4">
        <v>3176</v>
      </c>
      <c r="L1710" s="4">
        <v>3176</v>
      </c>
    </row>
    <row r="1711" spans="2:12" ht="12.75">
      <c r="B1711" t="str">
        <f t="shared" si="82"/>
        <v>6999</v>
      </c>
      <c r="C1711" t="s">
        <v>493</v>
      </c>
      <c r="D1711">
        <v>402007</v>
      </c>
      <c r="E1711" t="s">
        <v>41</v>
      </c>
      <c r="F1711">
        <v>410004</v>
      </c>
      <c r="G1711" t="s">
        <v>265</v>
      </c>
      <c r="H1711">
        <v>41</v>
      </c>
      <c r="I1711" t="s">
        <v>14</v>
      </c>
      <c r="J1711">
        <v>1</v>
      </c>
      <c r="K1711" s="4">
        <v>22500</v>
      </c>
      <c r="L1711" s="4">
        <v>22500</v>
      </c>
    </row>
    <row r="1712" spans="2:12" ht="12.75">
      <c r="B1712" t="str">
        <f t="shared" si="82"/>
        <v>6999</v>
      </c>
      <c r="C1712" t="s">
        <v>493</v>
      </c>
      <c r="D1712">
        <v>402515</v>
      </c>
      <c r="E1712" t="s">
        <v>15</v>
      </c>
      <c r="F1712">
        <v>410004</v>
      </c>
      <c r="G1712" t="s">
        <v>265</v>
      </c>
      <c r="H1712">
        <v>41</v>
      </c>
      <c r="I1712" t="s">
        <v>14</v>
      </c>
      <c r="J1712">
        <v>1</v>
      </c>
      <c r="K1712" s="4">
        <v>19412</v>
      </c>
      <c r="L1712" s="4">
        <v>19412</v>
      </c>
    </row>
    <row r="1713" spans="2:12" ht="12.75">
      <c r="B1713" t="str">
        <f t="shared" si="82"/>
        <v>6999</v>
      </c>
      <c r="C1713" t="s">
        <v>493</v>
      </c>
      <c r="D1713">
        <v>402515</v>
      </c>
      <c r="E1713" t="s">
        <v>15</v>
      </c>
      <c r="F1713">
        <v>410004</v>
      </c>
      <c r="G1713" t="s">
        <v>265</v>
      </c>
      <c r="H1713">
        <v>41</v>
      </c>
      <c r="I1713" t="s">
        <v>14</v>
      </c>
      <c r="J1713">
        <v>1</v>
      </c>
      <c r="K1713" s="4">
        <v>32648</v>
      </c>
      <c r="L1713" s="4">
        <v>32648</v>
      </c>
    </row>
    <row r="1714" spans="2:12" ht="12.75">
      <c r="B1714" t="str">
        <f t="shared" si="82"/>
        <v>6999</v>
      </c>
      <c r="C1714" t="s">
        <v>493</v>
      </c>
      <c r="D1714">
        <v>402515</v>
      </c>
      <c r="E1714" t="s">
        <v>15</v>
      </c>
      <c r="F1714">
        <v>410004</v>
      </c>
      <c r="G1714" t="s">
        <v>265</v>
      </c>
      <c r="H1714">
        <v>41</v>
      </c>
      <c r="I1714" t="s">
        <v>14</v>
      </c>
      <c r="J1714">
        <v>1</v>
      </c>
      <c r="K1714" s="4">
        <v>49937</v>
      </c>
      <c r="L1714" s="4">
        <v>49937</v>
      </c>
    </row>
    <row r="1715" spans="2:12" ht="12.75">
      <c r="B1715" t="str">
        <f t="shared" si="82"/>
        <v>6999</v>
      </c>
      <c r="C1715" t="s">
        <v>493</v>
      </c>
      <c r="D1715">
        <v>402515</v>
      </c>
      <c r="E1715" t="s">
        <v>15</v>
      </c>
      <c r="F1715">
        <v>410004</v>
      </c>
      <c r="G1715" t="s">
        <v>265</v>
      </c>
      <c r="H1715">
        <v>41</v>
      </c>
      <c r="I1715" t="s">
        <v>14</v>
      </c>
      <c r="J1715">
        <v>1</v>
      </c>
      <c r="K1715" s="4">
        <v>43677</v>
      </c>
      <c r="L1715" s="4">
        <v>43677</v>
      </c>
    </row>
    <row r="1716" spans="2:12" ht="12.75">
      <c r="B1716" t="str">
        <f t="shared" si="82"/>
        <v>6999</v>
      </c>
      <c r="C1716" t="s">
        <v>493</v>
      </c>
      <c r="D1716">
        <v>420202</v>
      </c>
      <c r="E1716" t="s">
        <v>19</v>
      </c>
      <c r="F1716">
        <v>410006</v>
      </c>
      <c r="G1716" t="s">
        <v>148</v>
      </c>
      <c r="H1716">
        <v>41</v>
      </c>
      <c r="I1716" t="s">
        <v>14</v>
      </c>
      <c r="J1716">
        <v>1</v>
      </c>
      <c r="K1716" s="4">
        <v>9529</v>
      </c>
      <c r="L1716" s="4">
        <v>9529</v>
      </c>
    </row>
    <row r="1717" spans="2:12" ht="12.75">
      <c r="B1717" t="str">
        <f t="shared" si="82"/>
        <v>6999</v>
      </c>
      <c r="C1717" t="s">
        <v>493</v>
      </c>
      <c r="D1717">
        <v>420202</v>
      </c>
      <c r="E1717" t="s">
        <v>19</v>
      </c>
      <c r="F1717">
        <v>410006</v>
      </c>
      <c r="G1717" t="s">
        <v>148</v>
      </c>
      <c r="H1717">
        <v>41</v>
      </c>
      <c r="I1717" t="s">
        <v>14</v>
      </c>
      <c r="J1717">
        <v>1</v>
      </c>
      <c r="K1717" s="4">
        <v>39920</v>
      </c>
      <c r="L1717" s="4">
        <v>39920</v>
      </c>
    </row>
    <row r="1718" spans="2:12" ht="12.75">
      <c r="B1718" t="str">
        <f t="shared" si="82"/>
        <v>6999</v>
      </c>
      <c r="C1718" t="s">
        <v>493</v>
      </c>
      <c r="D1718">
        <v>420202</v>
      </c>
      <c r="E1718" t="s">
        <v>19</v>
      </c>
      <c r="F1718">
        <v>410006</v>
      </c>
      <c r="G1718" t="s">
        <v>148</v>
      </c>
      <c r="H1718">
        <v>41</v>
      </c>
      <c r="I1718" t="s">
        <v>14</v>
      </c>
      <c r="J1718">
        <v>1</v>
      </c>
      <c r="K1718" s="4">
        <v>15882</v>
      </c>
      <c r="L1718" s="4">
        <v>15882</v>
      </c>
    </row>
    <row r="1719" spans="2:12" ht="12.75">
      <c r="B1719" t="str">
        <f t="shared" si="82"/>
        <v>6999</v>
      </c>
      <c r="C1719" t="s">
        <v>493</v>
      </c>
      <c r="D1719">
        <v>420202</v>
      </c>
      <c r="E1719" t="s">
        <v>19</v>
      </c>
      <c r="F1719">
        <v>410006</v>
      </c>
      <c r="G1719" t="s">
        <v>148</v>
      </c>
      <c r="H1719">
        <v>41</v>
      </c>
      <c r="I1719" t="s">
        <v>14</v>
      </c>
      <c r="J1719">
        <v>1</v>
      </c>
      <c r="K1719" s="4">
        <v>26206</v>
      </c>
      <c r="L1719" s="4">
        <v>26206</v>
      </c>
    </row>
    <row r="1720" spans="2:12" ht="12.75">
      <c r="B1720" t="str">
        <f t="shared" si="82"/>
        <v>6999</v>
      </c>
      <c r="C1720" t="s">
        <v>493</v>
      </c>
      <c r="D1720">
        <v>420704</v>
      </c>
      <c r="E1720" t="s">
        <v>24</v>
      </c>
      <c r="F1720">
        <v>410006</v>
      </c>
      <c r="G1720" t="s">
        <v>148</v>
      </c>
      <c r="H1720">
        <v>41</v>
      </c>
      <c r="I1720" t="s">
        <v>14</v>
      </c>
      <c r="J1720">
        <v>1</v>
      </c>
      <c r="K1720" s="4">
        <v>74294</v>
      </c>
      <c r="L1720" s="4">
        <v>74294</v>
      </c>
    </row>
    <row r="1721" spans="2:12" ht="12.75">
      <c r="B1721" t="str">
        <f t="shared" si="82"/>
        <v>6999</v>
      </c>
      <c r="C1721" t="s">
        <v>493</v>
      </c>
      <c r="D1721">
        <v>420704</v>
      </c>
      <c r="E1721" t="s">
        <v>24</v>
      </c>
      <c r="F1721">
        <v>410006</v>
      </c>
      <c r="G1721" t="s">
        <v>148</v>
      </c>
      <c r="H1721">
        <v>41</v>
      </c>
      <c r="I1721" t="s">
        <v>14</v>
      </c>
      <c r="J1721">
        <v>1</v>
      </c>
      <c r="K1721" s="4">
        <v>356876</v>
      </c>
      <c r="L1721" s="4">
        <v>356876</v>
      </c>
    </row>
    <row r="1722" spans="2:12" ht="12.75">
      <c r="B1722" t="str">
        <f t="shared" si="82"/>
        <v>6999</v>
      </c>
      <c r="C1722" t="s">
        <v>493</v>
      </c>
      <c r="D1722">
        <v>420704</v>
      </c>
      <c r="E1722" t="s">
        <v>24</v>
      </c>
      <c r="F1722">
        <v>410006</v>
      </c>
      <c r="G1722" t="s">
        <v>148</v>
      </c>
      <c r="H1722">
        <v>41</v>
      </c>
      <c r="I1722" t="s">
        <v>14</v>
      </c>
      <c r="J1722">
        <v>1</v>
      </c>
      <c r="K1722" s="4">
        <v>88152</v>
      </c>
      <c r="L1722" s="4">
        <v>88152</v>
      </c>
    </row>
    <row r="1723" spans="2:12" ht="12.75">
      <c r="B1723" t="str">
        <f t="shared" si="82"/>
        <v>6999</v>
      </c>
      <c r="C1723" t="s">
        <v>493</v>
      </c>
      <c r="D1723">
        <v>420704</v>
      </c>
      <c r="E1723" t="s">
        <v>24</v>
      </c>
      <c r="F1723">
        <v>410006</v>
      </c>
      <c r="G1723" t="s">
        <v>148</v>
      </c>
      <c r="H1723">
        <v>41</v>
      </c>
      <c r="I1723" t="s">
        <v>14</v>
      </c>
      <c r="J1723">
        <v>1</v>
      </c>
      <c r="K1723" s="4">
        <v>221294</v>
      </c>
      <c r="L1723" s="4">
        <v>221294</v>
      </c>
    </row>
    <row r="1724" spans="2:12" ht="12.75">
      <c r="B1724" t="str">
        <f t="shared" si="82"/>
        <v>6999</v>
      </c>
      <c r="C1724" t="s">
        <v>493</v>
      </c>
      <c r="D1724">
        <v>420806</v>
      </c>
      <c r="E1724" t="s">
        <v>122</v>
      </c>
      <c r="F1724">
        <v>360012</v>
      </c>
      <c r="G1724" t="s">
        <v>231</v>
      </c>
      <c r="H1724">
        <v>36</v>
      </c>
      <c r="I1724" t="s">
        <v>124</v>
      </c>
      <c r="J1724">
        <v>1</v>
      </c>
      <c r="K1724" s="4">
        <v>0</v>
      </c>
      <c r="L1724" s="4">
        <v>0</v>
      </c>
    </row>
    <row r="1725" spans="2:12" ht="12.75">
      <c r="B1725" t="str">
        <f t="shared" si="82"/>
        <v>6999</v>
      </c>
      <c r="C1725" t="s">
        <v>493</v>
      </c>
      <c r="D1725">
        <v>420806</v>
      </c>
      <c r="E1725" t="s">
        <v>122</v>
      </c>
      <c r="F1725">
        <v>360012</v>
      </c>
      <c r="G1725" t="s">
        <v>231</v>
      </c>
      <c r="H1725">
        <v>36</v>
      </c>
      <c r="I1725" t="s">
        <v>124</v>
      </c>
      <c r="J1725">
        <v>1</v>
      </c>
      <c r="K1725" s="4">
        <v>10941</v>
      </c>
      <c r="L1725" s="4">
        <v>10941</v>
      </c>
    </row>
    <row r="1726" spans="2:12" ht="12.75">
      <c r="B1726" t="str">
        <f t="shared" si="82"/>
        <v>6999</v>
      </c>
      <c r="C1726" t="s">
        <v>493</v>
      </c>
      <c r="D1726">
        <v>420806</v>
      </c>
      <c r="E1726" t="s">
        <v>122</v>
      </c>
      <c r="F1726">
        <v>360012</v>
      </c>
      <c r="G1726" t="s">
        <v>231</v>
      </c>
      <c r="H1726">
        <v>36</v>
      </c>
      <c r="I1726" t="s">
        <v>124</v>
      </c>
      <c r="J1726">
        <v>1</v>
      </c>
      <c r="K1726" s="4">
        <v>0</v>
      </c>
      <c r="L1726" s="4">
        <v>0</v>
      </c>
    </row>
    <row r="1727" spans="2:12" ht="12.75">
      <c r="B1727" t="str">
        <f t="shared" si="82"/>
        <v>6999</v>
      </c>
      <c r="C1727" t="s">
        <v>493</v>
      </c>
      <c r="D1727">
        <v>420806</v>
      </c>
      <c r="E1727" t="s">
        <v>122</v>
      </c>
      <c r="F1727">
        <v>360012</v>
      </c>
      <c r="G1727" t="s">
        <v>231</v>
      </c>
      <c r="H1727">
        <v>36</v>
      </c>
      <c r="I1727" t="s">
        <v>124</v>
      </c>
      <c r="J1727">
        <v>1</v>
      </c>
      <c r="K1727" s="4">
        <v>0</v>
      </c>
      <c r="L1727" s="4">
        <v>0</v>
      </c>
    </row>
    <row r="1728" spans="1:2" ht="12.75">
      <c r="A1728" t="s">
        <v>47</v>
      </c>
      <c r="B1728">
        <f>SUM(L1478:L1727)</f>
        <v>38463578.8</v>
      </c>
    </row>
    <row r="1730" ht="12.75">
      <c r="A1730" t="str">
        <f>"6202 - Upravna enota Brežice, verzija: 1"</f>
        <v>6202 - Upravna enota Brežice, verzija: 1</v>
      </c>
    </row>
    <row r="1731" spans="2:13" ht="12.75">
      <c r="B1731" t="s">
        <v>3</v>
      </c>
      <c r="D1731" t="s">
        <v>4</v>
      </c>
      <c r="F1731" t="s">
        <v>5</v>
      </c>
      <c r="H1731" t="s">
        <v>6</v>
      </c>
      <c r="J1731" t="s">
        <v>7</v>
      </c>
      <c r="K1731" s="4" t="s">
        <v>8</v>
      </c>
      <c r="L1731" s="4" t="s">
        <v>9</v>
      </c>
      <c r="M1731" t="s">
        <v>10</v>
      </c>
    </row>
    <row r="1732" spans="2:12" ht="12.75">
      <c r="B1732" t="str">
        <f aca="true" t="shared" si="83" ref="B1732:B1740">"3609"</f>
        <v>3609</v>
      </c>
      <c r="C1732" t="s">
        <v>27</v>
      </c>
      <c r="D1732">
        <v>420202</v>
      </c>
      <c r="E1732" t="s">
        <v>19</v>
      </c>
      <c r="F1732">
        <v>10002</v>
      </c>
      <c r="G1732" t="s">
        <v>20</v>
      </c>
      <c r="H1732">
        <v>1</v>
      </c>
      <c r="I1732" t="s">
        <v>21</v>
      </c>
      <c r="J1732">
        <v>1</v>
      </c>
      <c r="K1732" s="4">
        <v>600</v>
      </c>
      <c r="L1732" s="4">
        <v>600</v>
      </c>
    </row>
    <row r="1733" spans="2:12" ht="12.75">
      <c r="B1733" t="str">
        <f t="shared" si="83"/>
        <v>3609</v>
      </c>
      <c r="C1733" t="s">
        <v>27</v>
      </c>
      <c r="D1733">
        <v>420202</v>
      </c>
      <c r="E1733" t="s">
        <v>19</v>
      </c>
      <c r="F1733">
        <v>10003</v>
      </c>
      <c r="G1733" t="s">
        <v>28</v>
      </c>
      <c r="H1733">
        <v>1</v>
      </c>
      <c r="I1733" t="s">
        <v>21</v>
      </c>
      <c r="J1733">
        <v>1</v>
      </c>
      <c r="K1733" s="4">
        <v>800</v>
      </c>
      <c r="L1733" s="4">
        <v>800</v>
      </c>
    </row>
    <row r="1734" spans="2:12" ht="12.75">
      <c r="B1734" t="str">
        <f t="shared" si="83"/>
        <v>3609</v>
      </c>
      <c r="C1734" t="s">
        <v>27</v>
      </c>
      <c r="D1734">
        <v>420202</v>
      </c>
      <c r="E1734" t="s">
        <v>19</v>
      </c>
      <c r="F1734">
        <v>20001</v>
      </c>
      <c r="G1734" t="s">
        <v>29</v>
      </c>
      <c r="H1734">
        <v>2</v>
      </c>
      <c r="I1734" t="s">
        <v>30</v>
      </c>
      <c r="J1734">
        <v>1</v>
      </c>
      <c r="K1734" s="4">
        <v>1200</v>
      </c>
      <c r="L1734" s="4">
        <v>1200</v>
      </c>
    </row>
    <row r="1735" spans="2:12" ht="12.75">
      <c r="B1735" t="str">
        <f t="shared" si="83"/>
        <v>3609</v>
      </c>
      <c r="C1735" t="s">
        <v>27</v>
      </c>
      <c r="D1735">
        <v>420202</v>
      </c>
      <c r="E1735" t="s">
        <v>19</v>
      </c>
      <c r="F1735">
        <v>40002</v>
      </c>
      <c r="G1735" t="s">
        <v>22</v>
      </c>
      <c r="H1735">
        <v>4</v>
      </c>
      <c r="I1735" t="s">
        <v>23</v>
      </c>
      <c r="J1735">
        <v>3</v>
      </c>
      <c r="K1735" s="4">
        <v>400</v>
      </c>
      <c r="L1735" s="4">
        <v>1200</v>
      </c>
    </row>
    <row r="1736" spans="2:12" ht="12.75">
      <c r="B1736" t="str">
        <f t="shared" si="83"/>
        <v>3609</v>
      </c>
      <c r="C1736" t="s">
        <v>27</v>
      </c>
      <c r="D1736">
        <v>420202</v>
      </c>
      <c r="E1736" t="s">
        <v>19</v>
      </c>
      <c r="F1736">
        <v>60002</v>
      </c>
      <c r="G1736" t="s">
        <v>31</v>
      </c>
      <c r="H1736">
        <v>6</v>
      </c>
      <c r="I1736" t="s">
        <v>32</v>
      </c>
      <c r="J1736">
        <v>2</v>
      </c>
      <c r="K1736" s="4">
        <v>450</v>
      </c>
      <c r="L1736" s="4">
        <v>900</v>
      </c>
    </row>
    <row r="1737" spans="2:12" ht="12.75">
      <c r="B1737" t="str">
        <f t="shared" si="83"/>
        <v>3609</v>
      </c>
      <c r="C1737" t="s">
        <v>27</v>
      </c>
      <c r="D1737">
        <v>420202</v>
      </c>
      <c r="E1737" t="s">
        <v>19</v>
      </c>
      <c r="F1737">
        <v>60003</v>
      </c>
      <c r="G1737" t="s">
        <v>157</v>
      </c>
      <c r="H1737">
        <v>6</v>
      </c>
      <c r="I1737" t="s">
        <v>32</v>
      </c>
      <c r="J1737">
        <v>1</v>
      </c>
      <c r="K1737" s="4">
        <v>400</v>
      </c>
      <c r="L1737" s="4">
        <v>400</v>
      </c>
    </row>
    <row r="1738" spans="2:12" ht="12.75">
      <c r="B1738" t="str">
        <f t="shared" si="83"/>
        <v>3609</v>
      </c>
      <c r="C1738" t="s">
        <v>27</v>
      </c>
      <c r="D1738">
        <v>420202</v>
      </c>
      <c r="E1738" t="s">
        <v>19</v>
      </c>
      <c r="F1738">
        <v>60004</v>
      </c>
      <c r="G1738" t="s">
        <v>33</v>
      </c>
      <c r="H1738">
        <v>6</v>
      </c>
      <c r="I1738" t="s">
        <v>32</v>
      </c>
      <c r="J1738">
        <v>1</v>
      </c>
      <c r="K1738" s="4">
        <v>370</v>
      </c>
      <c r="L1738" s="4">
        <v>370</v>
      </c>
    </row>
    <row r="1739" spans="2:12" ht="12.75">
      <c r="B1739" t="str">
        <f t="shared" si="83"/>
        <v>3609</v>
      </c>
      <c r="C1739" t="s">
        <v>27</v>
      </c>
      <c r="D1739">
        <v>420202</v>
      </c>
      <c r="E1739" t="s">
        <v>19</v>
      </c>
      <c r="F1739">
        <v>80001</v>
      </c>
      <c r="G1739" t="s">
        <v>437</v>
      </c>
      <c r="H1739">
        <v>8</v>
      </c>
      <c r="I1739" t="s">
        <v>76</v>
      </c>
      <c r="J1739">
        <v>1</v>
      </c>
      <c r="K1739" s="4">
        <v>200</v>
      </c>
      <c r="L1739" s="4">
        <v>200</v>
      </c>
    </row>
    <row r="1740" spans="2:12" ht="12.75">
      <c r="B1740" t="str">
        <f t="shared" si="83"/>
        <v>3609</v>
      </c>
      <c r="C1740" t="s">
        <v>27</v>
      </c>
      <c r="D1740">
        <v>420202</v>
      </c>
      <c r="E1740" t="s">
        <v>19</v>
      </c>
      <c r="F1740">
        <v>230001</v>
      </c>
      <c r="G1740" t="s">
        <v>236</v>
      </c>
      <c r="H1740">
        <v>23</v>
      </c>
      <c r="I1740" t="s">
        <v>143</v>
      </c>
      <c r="J1740">
        <v>1</v>
      </c>
      <c r="K1740" s="4">
        <v>2500</v>
      </c>
      <c r="L1740" s="4">
        <v>2500</v>
      </c>
    </row>
    <row r="1741" spans="1:2" ht="12.75">
      <c r="A1741" t="s">
        <v>47</v>
      </c>
      <c r="B1741">
        <f>SUM(L1732:L1740)</f>
        <v>8170</v>
      </c>
    </row>
    <row r="1743" ht="12.75">
      <c r="A1743" t="str">
        <f>"6203 - Upravna enota Celje, verzija: 1"</f>
        <v>6203 - Upravna enota Celje, verzija: 1</v>
      </c>
    </row>
    <row r="1744" spans="2:13" ht="12.75">
      <c r="B1744" t="s">
        <v>3</v>
      </c>
      <c r="D1744" t="s">
        <v>4</v>
      </c>
      <c r="F1744" t="s">
        <v>5</v>
      </c>
      <c r="H1744" t="s">
        <v>6</v>
      </c>
      <c r="J1744" t="s">
        <v>7</v>
      </c>
      <c r="K1744" s="4" t="s">
        <v>8</v>
      </c>
      <c r="L1744" s="4" t="s">
        <v>9</v>
      </c>
      <c r="M1744" t="s">
        <v>10</v>
      </c>
    </row>
    <row r="1745" spans="2:12" ht="12.75">
      <c r="B1745" t="str">
        <f aca="true" t="shared" si="84" ref="B1745:B1752">"3610"</f>
        <v>3610</v>
      </c>
      <c r="C1745" t="s">
        <v>27</v>
      </c>
      <c r="D1745">
        <v>420202</v>
      </c>
      <c r="E1745" t="s">
        <v>19</v>
      </c>
      <c r="F1745">
        <v>10003</v>
      </c>
      <c r="G1745" t="s">
        <v>28</v>
      </c>
      <c r="H1745">
        <v>1</v>
      </c>
      <c r="I1745" t="s">
        <v>21</v>
      </c>
      <c r="J1745">
        <v>8</v>
      </c>
      <c r="K1745" s="4">
        <v>500</v>
      </c>
      <c r="L1745" s="4">
        <v>4000</v>
      </c>
    </row>
    <row r="1746" spans="2:12" ht="12.75">
      <c r="B1746" t="str">
        <f t="shared" si="84"/>
        <v>3610</v>
      </c>
      <c r="C1746" t="s">
        <v>27</v>
      </c>
      <c r="D1746">
        <v>420202</v>
      </c>
      <c r="E1746" t="s">
        <v>19</v>
      </c>
      <c r="F1746">
        <v>20002</v>
      </c>
      <c r="G1746" t="s">
        <v>58</v>
      </c>
      <c r="H1746">
        <v>2</v>
      </c>
      <c r="I1746" t="s">
        <v>30</v>
      </c>
      <c r="J1746">
        <v>1</v>
      </c>
      <c r="K1746" s="4">
        <v>999</v>
      </c>
      <c r="L1746" s="4">
        <v>999</v>
      </c>
    </row>
    <row r="1747" spans="2:12" ht="12.75">
      <c r="B1747" t="str">
        <f t="shared" si="84"/>
        <v>3610</v>
      </c>
      <c r="C1747" t="s">
        <v>27</v>
      </c>
      <c r="D1747">
        <v>420202</v>
      </c>
      <c r="E1747" t="s">
        <v>19</v>
      </c>
      <c r="F1747">
        <v>40001</v>
      </c>
      <c r="G1747" t="s">
        <v>59</v>
      </c>
      <c r="H1747">
        <v>4</v>
      </c>
      <c r="I1747" t="s">
        <v>23</v>
      </c>
      <c r="J1747">
        <v>2</v>
      </c>
      <c r="K1747" s="4">
        <v>200</v>
      </c>
      <c r="L1747" s="4">
        <v>400</v>
      </c>
    </row>
    <row r="1748" spans="2:12" ht="12.75">
      <c r="B1748" t="str">
        <f t="shared" si="84"/>
        <v>3610</v>
      </c>
      <c r="C1748" t="s">
        <v>27</v>
      </c>
      <c r="D1748">
        <v>420202</v>
      </c>
      <c r="E1748" t="s">
        <v>19</v>
      </c>
      <c r="F1748">
        <v>40002</v>
      </c>
      <c r="G1748" t="s">
        <v>22</v>
      </c>
      <c r="H1748">
        <v>4</v>
      </c>
      <c r="I1748" t="s">
        <v>23</v>
      </c>
      <c r="J1748">
        <v>2</v>
      </c>
      <c r="K1748" s="4">
        <v>290</v>
      </c>
      <c r="L1748" s="4">
        <v>580</v>
      </c>
    </row>
    <row r="1749" spans="2:12" ht="12.75">
      <c r="B1749" t="str">
        <f t="shared" si="84"/>
        <v>3610</v>
      </c>
      <c r="C1749" t="s">
        <v>27</v>
      </c>
      <c r="D1749">
        <v>420202</v>
      </c>
      <c r="E1749" t="s">
        <v>19</v>
      </c>
      <c r="F1749">
        <v>60002</v>
      </c>
      <c r="G1749" t="s">
        <v>31</v>
      </c>
      <c r="H1749">
        <v>6</v>
      </c>
      <c r="I1749" t="s">
        <v>32</v>
      </c>
      <c r="J1749">
        <v>2</v>
      </c>
      <c r="K1749" s="4">
        <v>1000</v>
      </c>
      <c r="L1749" s="4">
        <v>2000</v>
      </c>
    </row>
    <row r="1750" spans="2:12" ht="12.75">
      <c r="B1750" t="str">
        <f t="shared" si="84"/>
        <v>3610</v>
      </c>
      <c r="C1750" t="s">
        <v>27</v>
      </c>
      <c r="D1750">
        <v>420202</v>
      </c>
      <c r="E1750" t="s">
        <v>19</v>
      </c>
      <c r="F1750">
        <v>60003</v>
      </c>
      <c r="G1750" t="s">
        <v>157</v>
      </c>
      <c r="H1750">
        <v>6</v>
      </c>
      <c r="I1750" t="s">
        <v>32</v>
      </c>
      <c r="J1750">
        <v>3</v>
      </c>
      <c r="K1750" s="4">
        <v>150</v>
      </c>
      <c r="L1750" s="4">
        <v>450</v>
      </c>
    </row>
    <row r="1751" spans="2:12" ht="12.75">
      <c r="B1751" t="str">
        <f t="shared" si="84"/>
        <v>3610</v>
      </c>
      <c r="C1751" t="s">
        <v>27</v>
      </c>
      <c r="D1751">
        <v>420202</v>
      </c>
      <c r="E1751" t="s">
        <v>19</v>
      </c>
      <c r="F1751">
        <v>70003</v>
      </c>
      <c r="G1751" t="s">
        <v>73</v>
      </c>
      <c r="H1751">
        <v>7</v>
      </c>
      <c r="I1751" t="s">
        <v>74</v>
      </c>
      <c r="J1751">
        <v>2</v>
      </c>
      <c r="K1751" s="4">
        <v>200</v>
      </c>
      <c r="L1751" s="4">
        <v>400</v>
      </c>
    </row>
    <row r="1752" spans="2:12" ht="12.75">
      <c r="B1752" t="str">
        <f t="shared" si="84"/>
        <v>3610</v>
      </c>
      <c r="C1752" t="s">
        <v>27</v>
      </c>
      <c r="D1752">
        <v>420202</v>
      </c>
      <c r="E1752" t="s">
        <v>19</v>
      </c>
      <c r="F1752">
        <v>400024</v>
      </c>
      <c r="G1752" t="s">
        <v>25</v>
      </c>
      <c r="H1752">
        <v>40</v>
      </c>
      <c r="I1752" t="s">
        <v>50</v>
      </c>
      <c r="J1752">
        <v>10</v>
      </c>
      <c r="K1752" s="4">
        <v>369</v>
      </c>
      <c r="L1752" s="4">
        <v>3690</v>
      </c>
    </row>
    <row r="1753" spans="1:2" ht="12.75">
      <c r="A1753" t="s">
        <v>47</v>
      </c>
      <c r="B1753">
        <f>SUM(L1745:L1752)</f>
        <v>12519</v>
      </c>
    </row>
    <row r="1755" ht="12.75">
      <c r="A1755" t="str">
        <f>"6213 - Upravna enota Izola, verzija: 1"</f>
        <v>6213 - Upravna enota Izola, verzija: 1</v>
      </c>
    </row>
    <row r="1756" spans="2:13" ht="12.75">
      <c r="B1756" t="s">
        <v>3</v>
      </c>
      <c r="D1756" t="s">
        <v>4</v>
      </c>
      <c r="F1756" t="s">
        <v>5</v>
      </c>
      <c r="H1756" t="s">
        <v>6</v>
      </c>
      <c r="J1756" t="s">
        <v>7</v>
      </c>
      <c r="K1756" s="4" t="s">
        <v>8</v>
      </c>
      <c r="L1756" s="4" t="s">
        <v>9</v>
      </c>
      <c r="M1756" t="s">
        <v>10</v>
      </c>
    </row>
    <row r="1757" spans="2:13" ht="12.75">
      <c r="B1757" t="str">
        <f>"3620"</f>
        <v>3620</v>
      </c>
      <c r="C1757" t="s">
        <v>27</v>
      </c>
      <c r="D1757">
        <v>420202</v>
      </c>
      <c r="E1757" t="s">
        <v>19</v>
      </c>
      <c r="F1757">
        <v>50002</v>
      </c>
      <c r="G1757" t="s">
        <v>93</v>
      </c>
      <c r="H1757">
        <v>5</v>
      </c>
      <c r="I1757" t="s">
        <v>89</v>
      </c>
      <c r="J1757">
        <v>1</v>
      </c>
      <c r="K1757" s="4">
        <v>1000</v>
      </c>
      <c r="L1757" s="4">
        <v>1000</v>
      </c>
      <c r="M1757" t="s">
        <v>494</v>
      </c>
    </row>
    <row r="1758" spans="2:13" ht="12.75">
      <c r="B1758" t="str">
        <f>"3620"</f>
        <v>3620</v>
      </c>
      <c r="C1758" t="s">
        <v>27</v>
      </c>
      <c r="D1758">
        <v>420202</v>
      </c>
      <c r="E1758" t="s">
        <v>19</v>
      </c>
      <c r="F1758">
        <v>60002</v>
      </c>
      <c r="G1758" t="s">
        <v>31</v>
      </c>
      <c r="H1758">
        <v>6</v>
      </c>
      <c r="I1758" t="s">
        <v>32</v>
      </c>
      <c r="J1758">
        <v>1</v>
      </c>
      <c r="K1758" s="4">
        <v>800</v>
      </c>
      <c r="L1758" s="4">
        <v>800</v>
      </c>
      <c r="M1758" t="s">
        <v>495</v>
      </c>
    </row>
    <row r="1759" spans="2:13" ht="12.75">
      <c r="B1759" t="str">
        <f>"3620"</f>
        <v>3620</v>
      </c>
      <c r="C1759" t="s">
        <v>27</v>
      </c>
      <c r="D1759">
        <v>420202</v>
      </c>
      <c r="E1759" t="s">
        <v>19</v>
      </c>
      <c r="F1759">
        <v>100006</v>
      </c>
      <c r="G1759" t="s">
        <v>368</v>
      </c>
      <c r="H1759">
        <v>10</v>
      </c>
      <c r="I1759" t="s">
        <v>35</v>
      </c>
      <c r="J1759">
        <v>1</v>
      </c>
      <c r="K1759" s="4">
        <v>1000</v>
      </c>
      <c r="L1759" s="4">
        <v>1000</v>
      </c>
      <c r="M1759" t="s">
        <v>496</v>
      </c>
    </row>
    <row r="1760" spans="2:13" ht="12.75">
      <c r="B1760" t="str">
        <f>"3620"</f>
        <v>3620</v>
      </c>
      <c r="C1760" t="s">
        <v>27</v>
      </c>
      <c r="D1760">
        <v>420703</v>
      </c>
      <c r="E1760" t="s">
        <v>51</v>
      </c>
      <c r="F1760">
        <v>160007</v>
      </c>
      <c r="G1760" t="s">
        <v>70</v>
      </c>
      <c r="H1760">
        <v>16</v>
      </c>
      <c r="I1760" t="s">
        <v>71</v>
      </c>
      <c r="J1760">
        <v>1</v>
      </c>
      <c r="K1760" s="4">
        <v>810</v>
      </c>
      <c r="L1760" s="4">
        <v>810</v>
      </c>
      <c r="M1760" t="s">
        <v>497</v>
      </c>
    </row>
    <row r="1761" spans="1:2" ht="12.75">
      <c r="A1761" t="s">
        <v>47</v>
      </c>
      <c r="B1761">
        <f>SUM(L1757:L1760)</f>
        <v>3610</v>
      </c>
    </row>
    <row r="1763" ht="12.75">
      <c r="A1763" t="str">
        <f>"6215 - Upravna enota Kamnik, verzija: 1"</f>
        <v>6215 - Upravna enota Kamnik, verzija: 1</v>
      </c>
    </row>
    <row r="1764" spans="2:13" ht="12.75">
      <c r="B1764" t="s">
        <v>3</v>
      </c>
      <c r="D1764" t="s">
        <v>4</v>
      </c>
      <c r="F1764" t="s">
        <v>5</v>
      </c>
      <c r="H1764" t="s">
        <v>6</v>
      </c>
      <c r="J1764" t="s">
        <v>7</v>
      </c>
      <c r="K1764" s="4" t="s">
        <v>8</v>
      </c>
      <c r="L1764" s="4" t="s">
        <v>9</v>
      </c>
      <c r="M1764" t="s">
        <v>10</v>
      </c>
    </row>
    <row r="1765" spans="2:13" ht="12.75">
      <c r="B1765" t="str">
        <f>"3622"</f>
        <v>3622</v>
      </c>
      <c r="C1765" t="s">
        <v>27</v>
      </c>
      <c r="D1765">
        <v>420238</v>
      </c>
      <c r="E1765" t="s">
        <v>34</v>
      </c>
      <c r="F1765">
        <v>400024</v>
      </c>
      <c r="G1765" t="s">
        <v>25</v>
      </c>
      <c r="H1765">
        <v>40</v>
      </c>
      <c r="I1765" t="s">
        <v>50</v>
      </c>
      <c r="J1765">
        <v>1</v>
      </c>
      <c r="K1765" s="4">
        <v>400</v>
      </c>
      <c r="L1765" s="4">
        <v>400</v>
      </c>
      <c r="M1765" t="s">
        <v>498</v>
      </c>
    </row>
    <row r="1766" spans="1:2" ht="12.75">
      <c r="A1766" t="s">
        <v>47</v>
      </c>
      <c r="B1766">
        <f>SUM(L1765:L1765)</f>
        <v>400</v>
      </c>
    </row>
    <row r="1768" ht="12.75">
      <c r="A1768" t="str">
        <f>"6219 - Upravna enota Krško, verzija: 1"</f>
        <v>6219 - Upravna enota Krško, verzija: 1</v>
      </c>
    </row>
    <row r="1769" spans="2:13" ht="12.75">
      <c r="B1769" t="s">
        <v>3</v>
      </c>
      <c r="D1769" t="s">
        <v>4</v>
      </c>
      <c r="F1769" t="s">
        <v>5</v>
      </c>
      <c r="H1769" t="s">
        <v>6</v>
      </c>
      <c r="J1769" t="s">
        <v>7</v>
      </c>
      <c r="K1769" s="4" t="s">
        <v>8</v>
      </c>
      <c r="L1769" s="4" t="s">
        <v>9</v>
      </c>
      <c r="M1769" t="s">
        <v>10</v>
      </c>
    </row>
    <row r="1770" spans="2:12" ht="12.75">
      <c r="B1770" t="str">
        <f>"8971"</f>
        <v>8971</v>
      </c>
      <c r="C1770" t="s">
        <v>499</v>
      </c>
      <c r="D1770">
        <v>420704</v>
      </c>
      <c r="E1770" t="s">
        <v>24</v>
      </c>
      <c r="F1770">
        <v>60001</v>
      </c>
      <c r="G1770" t="s">
        <v>358</v>
      </c>
      <c r="H1770">
        <v>6</v>
      </c>
      <c r="I1770" t="s">
        <v>32</v>
      </c>
      <c r="J1770">
        <v>1</v>
      </c>
      <c r="K1770" s="4">
        <v>209</v>
      </c>
      <c r="L1770" s="4">
        <v>209</v>
      </c>
    </row>
    <row r="1771" spans="1:2" ht="12.75">
      <c r="A1771" t="s">
        <v>47</v>
      </c>
      <c r="B1771">
        <f>SUM(L1770:L1770)</f>
        <v>209</v>
      </c>
    </row>
    <row r="1773" ht="12.75">
      <c r="A1773" t="str">
        <f>"6220 - Upravna enota Laško, verzija: 1"</f>
        <v>6220 - Upravna enota Laško, verzija: 1</v>
      </c>
    </row>
    <row r="1774" spans="2:13" ht="12.75">
      <c r="B1774" t="s">
        <v>3</v>
      </c>
      <c r="D1774" t="s">
        <v>4</v>
      </c>
      <c r="F1774" t="s">
        <v>5</v>
      </c>
      <c r="H1774" t="s">
        <v>6</v>
      </c>
      <c r="J1774" t="s">
        <v>7</v>
      </c>
      <c r="K1774" s="4" t="s">
        <v>8</v>
      </c>
      <c r="L1774" s="4" t="s">
        <v>9</v>
      </c>
      <c r="M1774" t="s">
        <v>10</v>
      </c>
    </row>
    <row r="1775" spans="2:13" ht="12.75">
      <c r="B1775" t="str">
        <f>"2699"</f>
        <v>2699</v>
      </c>
      <c r="C1775" t="s">
        <v>40</v>
      </c>
      <c r="D1775">
        <v>402607</v>
      </c>
      <c r="E1775" t="s">
        <v>91</v>
      </c>
      <c r="F1775">
        <v>310005</v>
      </c>
      <c r="G1775" t="s">
        <v>46</v>
      </c>
      <c r="H1775">
        <v>31</v>
      </c>
      <c r="I1775" t="s">
        <v>26</v>
      </c>
      <c r="J1775">
        <v>1</v>
      </c>
      <c r="K1775" s="4">
        <v>2000</v>
      </c>
      <c r="L1775" s="4">
        <v>2000</v>
      </c>
      <c r="M1775" t="s">
        <v>500</v>
      </c>
    </row>
    <row r="1776" spans="1:2" ht="12.75">
      <c r="A1776" t="s">
        <v>47</v>
      </c>
      <c r="B1776">
        <f>SUM(L1775:L1775)</f>
        <v>2000</v>
      </c>
    </row>
    <row r="1778" ht="12.75">
      <c r="A1778" t="str">
        <f>"6223 - Upravna enota Litija, verzija: 1"</f>
        <v>6223 - Upravna enota Litija, verzija: 1</v>
      </c>
    </row>
    <row r="1779" spans="2:13" ht="12.75">
      <c r="B1779" t="s">
        <v>3</v>
      </c>
      <c r="D1779" t="s">
        <v>4</v>
      </c>
      <c r="F1779" t="s">
        <v>5</v>
      </c>
      <c r="H1779" t="s">
        <v>6</v>
      </c>
      <c r="J1779" t="s">
        <v>7</v>
      </c>
      <c r="K1779" s="4" t="s">
        <v>8</v>
      </c>
      <c r="L1779" s="4" t="s">
        <v>9</v>
      </c>
      <c r="M1779" t="s">
        <v>10</v>
      </c>
    </row>
    <row r="1780" spans="2:13" ht="12.75">
      <c r="B1780" t="str">
        <f>"3630"</f>
        <v>3630</v>
      </c>
      <c r="C1780" t="s">
        <v>27</v>
      </c>
      <c r="D1780">
        <v>420202</v>
      </c>
      <c r="E1780" t="s">
        <v>19</v>
      </c>
      <c r="F1780">
        <v>400023</v>
      </c>
      <c r="G1780" t="s">
        <v>94</v>
      </c>
      <c r="H1780">
        <v>40</v>
      </c>
      <c r="I1780" t="s">
        <v>50</v>
      </c>
      <c r="J1780">
        <v>1</v>
      </c>
      <c r="K1780" s="4">
        <v>1000</v>
      </c>
      <c r="L1780" s="4">
        <v>1000</v>
      </c>
      <c r="M1780" t="s">
        <v>501</v>
      </c>
    </row>
    <row r="1781" spans="2:12" ht="12.75">
      <c r="B1781" t="str">
        <f>"3630"</f>
        <v>3630</v>
      </c>
      <c r="C1781" t="s">
        <v>27</v>
      </c>
      <c r="D1781">
        <v>420202</v>
      </c>
      <c r="E1781" t="s">
        <v>19</v>
      </c>
      <c r="F1781">
        <v>400023</v>
      </c>
      <c r="G1781" t="s">
        <v>94</v>
      </c>
      <c r="H1781">
        <v>40</v>
      </c>
      <c r="I1781" t="s">
        <v>50</v>
      </c>
      <c r="J1781">
        <v>1</v>
      </c>
      <c r="K1781" s="4">
        <v>100</v>
      </c>
      <c r="L1781" s="4">
        <v>100</v>
      </c>
    </row>
    <row r="1782" spans="1:2" ht="12.75">
      <c r="A1782" t="s">
        <v>47</v>
      </c>
      <c r="B1782">
        <f>SUM(L1780:L1781)</f>
        <v>1100</v>
      </c>
    </row>
    <row r="1784" ht="12.75">
      <c r="A1784" t="str">
        <f>"6226 - Upravna enota Logatec, verzija: 1"</f>
        <v>6226 - Upravna enota Logatec, verzija: 1</v>
      </c>
    </row>
    <row r="1785" spans="2:13" ht="12.75">
      <c r="B1785" t="s">
        <v>3</v>
      </c>
      <c r="D1785" t="s">
        <v>4</v>
      </c>
      <c r="F1785" t="s">
        <v>5</v>
      </c>
      <c r="H1785" t="s">
        <v>6</v>
      </c>
      <c r="J1785" t="s">
        <v>7</v>
      </c>
      <c r="K1785" s="4" t="s">
        <v>8</v>
      </c>
      <c r="L1785" s="4" t="s">
        <v>9</v>
      </c>
      <c r="M1785" t="s">
        <v>10</v>
      </c>
    </row>
    <row r="1786" spans="2:12" ht="12.75">
      <c r="B1786" t="str">
        <f>"3633"</f>
        <v>3633</v>
      </c>
      <c r="C1786" t="s">
        <v>27</v>
      </c>
      <c r="D1786">
        <v>420202</v>
      </c>
      <c r="E1786" t="s">
        <v>19</v>
      </c>
      <c r="F1786">
        <v>20002</v>
      </c>
      <c r="G1786" t="s">
        <v>58</v>
      </c>
      <c r="H1786">
        <v>2</v>
      </c>
      <c r="I1786" t="s">
        <v>30</v>
      </c>
      <c r="J1786">
        <v>1</v>
      </c>
      <c r="K1786" s="4">
        <v>1500</v>
      </c>
      <c r="L1786" s="4">
        <v>1500</v>
      </c>
    </row>
    <row r="1787" spans="2:12" ht="12.75">
      <c r="B1787" t="str">
        <f>"3633"</f>
        <v>3633</v>
      </c>
      <c r="C1787" t="s">
        <v>27</v>
      </c>
      <c r="D1787">
        <v>420202</v>
      </c>
      <c r="E1787" t="s">
        <v>19</v>
      </c>
      <c r="F1787">
        <v>70002</v>
      </c>
      <c r="G1787" t="s">
        <v>113</v>
      </c>
      <c r="H1787">
        <v>7</v>
      </c>
      <c r="I1787" t="s">
        <v>74</v>
      </c>
      <c r="J1787">
        <v>2</v>
      </c>
      <c r="K1787" s="4">
        <v>571</v>
      </c>
      <c r="L1787" s="4">
        <v>1142</v>
      </c>
    </row>
    <row r="1788" spans="2:12" ht="12.75">
      <c r="B1788" t="str">
        <f>"3633"</f>
        <v>3633</v>
      </c>
      <c r="C1788" t="s">
        <v>27</v>
      </c>
      <c r="D1788">
        <v>420202</v>
      </c>
      <c r="E1788" t="s">
        <v>19</v>
      </c>
      <c r="F1788">
        <v>200001</v>
      </c>
      <c r="G1788" t="s">
        <v>145</v>
      </c>
      <c r="H1788">
        <v>20</v>
      </c>
      <c r="I1788" t="s">
        <v>146</v>
      </c>
      <c r="J1788">
        <v>1</v>
      </c>
      <c r="K1788" s="4">
        <v>2000</v>
      </c>
      <c r="L1788" s="4">
        <v>2000</v>
      </c>
    </row>
    <row r="1789" spans="2:12" ht="12.75">
      <c r="B1789" t="str">
        <f>"3633"</f>
        <v>3633</v>
      </c>
      <c r="C1789" t="s">
        <v>27</v>
      </c>
      <c r="D1789">
        <v>420238</v>
      </c>
      <c r="E1789" t="s">
        <v>34</v>
      </c>
      <c r="F1789">
        <v>60004</v>
      </c>
      <c r="G1789" t="s">
        <v>33</v>
      </c>
      <c r="H1789">
        <v>6</v>
      </c>
      <c r="I1789" t="s">
        <v>32</v>
      </c>
      <c r="J1789">
        <v>3</v>
      </c>
      <c r="K1789" s="4">
        <v>400</v>
      </c>
      <c r="L1789" s="4">
        <v>1200</v>
      </c>
    </row>
    <row r="1790" spans="1:2" ht="12.75">
      <c r="A1790" t="s">
        <v>47</v>
      </c>
      <c r="B1790">
        <f>SUM(L1786:L1789)</f>
        <v>5842</v>
      </c>
    </row>
    <row r="1792" ht="12.75">
      <c r="A1792" t="str">
        <f>"6228 - Upravna enota Metlika, verzija: 1"</f>
        <v>6228 - Upravna enota Metlika, verzija: 1</v>
      </c>
    </row>
    <row r="1793" spans="2:13" ht="12.75">
      <c r="B1793" t="s">
        <v>3</v>
      </c>
      <c r="D1793" t="s">
        <v>4</v>
      </c>
      <c r="F1793" t="s">
        <v>5</v>
      </c>
      <c r="H1793" t="s">
        <v>6</v>
      </c>
      <c r="J1793" t="s">
        <v>7</v>
      </c>
      <c r="K1793" s="4" t="s">
        <v>8</v>
      </c>
      <c r="L1793" s="4" t="s">
        <v>9</v>
      </c>
      <c r="M1793" t="s">
        <v>10</v>
      </c>
    </row>
    <row r="1794" spans="2:12" ht="12.75">
      <c r="B1794" t="str">
        <f>"3635"</f>
        <v>3635</v>
      </c>
      <c r="C1794" t="s">
        <v>27</v>
      </c>
      <c r="D1794">
        <v>420202</v>
      </c>
      <c r="E1794" t="s">
        <v>19</v>
      </c>
      <c r="F1794">
        <v>20002</v>
      </c>
      <c r="G1794" t="s">
        <v>58</v>
      </c>
      <c r="H1794">
        <v>2</v>
      </c>
      <c r="I1794" t="s">
        <v>30</v>
      </c>
      <c r="J1794">
        <v>1</v>
      </c>
      <c r="K1794" s="4">
        <v>1000</v>
      </c>
      <c r="L1794" s="4">
        <v>1000</v>
      </c>
    </row>
    <row r="1795" spans="2:12" ht="12.75">
      <c r="B1795" t="str">
        <f>"3635"</f>
        <v>3635</v>
      </c>
      <c r="C1795" t="s">
        <v>27</v>
      </c>
      <c r="D1795">
        <v>420238</v>
      </c>
      <c r="E1795" t="s">
        <v>34</v>
      </c>
      <c r="F1795">
        <v>160011</v>
      </c>
      <c r="G1795" t="s">
        <v>25</v>
      </c>
      <c r="H1795">
        <v>16</v>
      </c>
      <c r="I1795" t="s">
        <v>71</v>
      </c>
      <c r="J1795">
        <v>1</v>
      </c>
      <c r="K1795" s="4">
        <v>600</v>
      </c>
      <c r="L1795" s="4">
        <v>600</v>
      </c>
    </row>
    <row r="1796" spans="1:2" ht="12.75">
      <c r="A1796" t="s">
        <v>47</v>
      </c>
      <c r="B1796">
        <f>SUM(L1794:L1795)</f>
        <v>1600</v>
      </c>
    </row>
    <row r="1798" ht="12.75">
      <c r="A1798" t="str">
        <f>"6230 - Upravna enota Murska Sobota, verzija: 1"</f>
        <v>6230 - Upravna enota Murska Sobota, verzija: 1</v>
      </c>
    </row>
    <row r="1799" spans="2:13" ht="12.75">
      <c r="B1799" t="s">
        <v>3</v>
      </c>
      <c r="D1799" t="s">
        <v>4</v>
      </c>
      <c r="F1799" t="s">
        <v>5</v>
      </c>
      <c r="H1799" t="s">
        <v>6</v>
      </c>
      <c r="J1799" t="s">
        <v>7</v>
      </c>
      <c r="K1799" s="4" t="s">
        <v>8</v>
      </c>
      <c r="L1799" s="4" t="s">
        <v>9</v>
      </c>
      <c r="M1799" t="s">
        <v>10</v>
      </c>
    </row>
    <row r="1800" spans="2:13" ht="12.75">
      <c r="B1800" t="str">
        <f>"3637"</f>
        <v>3637</v>
      </c>
      <c r="C1800" t="s">
        <v>27</v>
      </c>
      <c r="D1800">
        <v>420238</v>
      </c>
      <c r="E1800" t="s">
        <v>34</v>
      </c>
      <c r="F1800">
        <v>150004</v>
      </c>
      <c r="G1800" t="s">
        <v>25</v>
      </c>
      <c r="H1800">
        <v>15</v>
      </c>
      <c r="I1800" t="s">
        <v>229</v>
      </c>
      <c r="J1800">
        <v>1</v>
      </c>
      <c r="K1800" s="4">
        <v>3433</v>
      </c>
      <c r="L1800" s="4">
        <v>3433</v>
      </c>
      <c r="M1800" t="s">
        <v>502</v>
      </c>
    </row>
    <row r="1801" spans="1:2" ht="12.75">
      <c r="A1801" t="s">
        <v>47</v>
      </c>
      <c r="B1801">
        <f>SUM(L1800:L1800)</f>
        <v>3433</v>
      </c>
    </row>
    <row r="1803" ht="12.75">
      <c r="A1803" t="str">
        <f>"6231 - Upravna enota Nova Gorica, verzija: 1"</f>
        <v>6231 - Upravna enota Nova Gorica, verzija: 1</v>
      </c>
    </row>
    <row r="1804" spans="2:13" ht="12.75">
      <c r="B1804" t="s">
        <v>3</v>
      </c>
      <c r="D1804" t="s">
        <v>4</v>
      </c>
      <c r="F1804" t="s">
        <v>5</v>
      </c>
      <c r="H1804" t="s">
        <v>6</v>
      </c>
      <c r="J1804" t="s">
        <v>7</v>
      </c>
      <c r="K1804" s="4" t="s">
        <v>8</v>
      </c>
      <c r="L1804" s="4" t="s">
        <v>9</v>
      </c>
      <c r="M1804" t="s">
        <v>10</v>
      </c>
    </row>
    <row r="1805" spans="2:13" ht="12.75">
      <c r="B1805" t="str">
        <f>"3638"</f>
        <v>3638</v>
      </c>
      <c r="C1805" t="s">
        <v>27</v>
      </c>
      <c r="D1805">
        <v>420703</v>
      </c>
      <c r="E1805" t="s">
        <v>51</v>
      </c>
      <c r="F1805">
        <v>450005</v>
      </c>
      <c r="G1805" t="s">
        <v>42</v>
      </c>
      <c r="H1805">
        <v>45</v>
      </c>
      <c r="I1805" t="s">
        <v>43</v>
      </c>
      <c r="J1805">
        <v>1</v>
      </c>
      <c r="K1805" s="4">
        <v>6500</v>
      </c>
      <c r="L1805" s="4">
        <v>6500</v>
      </c>
      <c r="M1805" t="s">
        <v>503</v>
      </c>
    </row>
    <row r="1806" spans="1:2" ht="12.75">
      <c r="A1806" t="s">
        <v>47</v>
      </c>
      <c r="B1806">
        <f>SUM(L1805:L1805)</f>
        <v>6500</v>
      </c>
    </row>
    <row r="1808" ht="12.75">
      <c r="A1808" t="str">
        <f>"6232 - Upravna enota Novo mesto, verzija: 1"</f>
        <v>6232 - Upravna enota Novo mesto, verzija: 1</v>
      </c>
    </row>
    <row r="1809" spans="2:13" ht="12.75">
      <c r="B1809" t="s">
        <v>3</v>
      </c>
      <c r="D1809" t="s">
        <v>4</v>
      </c>
      <c r="F1809" t="s">
        <v>5</v>
      </c>
      <c r="H1809" t="s">
        <v>6</v>
      </c>
      <c r="J1809" t="s">
        <v>7</v>
      </c>
      <c r="K1809" s="4" t="s">
        <v>8</v>
      </c>
      <c r="L1809" s="4" t="s">
        <v>9</v>
      </c>
      <c r="M1809" t="s">
        <v>10</v>
      </c>
    </row>
    <row r="1810" spans="2:12" ht="12.75">
      <c r="B1810" t="str">
        <f>"6810"</f>
        <v>6810</v>
      </c>
      <c r="C1810" t="s">
        <v>499</v>
      </c>
      <c r="D1810">
        <v>420202</v>
      </c>
      <c r="E1810" t="s">
        <v>19</v>
      </c>
      <c r="F1810">
        <v>40002</v>
      </c>
      <c r="G1810" t="s">
        <v>22</v>
      </c>
      <c r="H1810">
        <v>4</v>
      </c>
      <c r="I1810" t="s">
        <v>23</v>
      </c>
      <c r="J1810">
        <v>4</v>
      </c>
      <c r="K1810" s="4">
        <v>210</v>
      </c>
      <c r="L1810" s="4">
        <v>840</v>
      </c>
    </row>
    <row r="1811" spans="2:12" ht="12.75">
      <c r="B1811" t="str">
        <f>"6810"</f>
        <v>6810</v>
      </c>
      <c r="C1811" t="s">
        <v>499</v>
      </c>
      <c r="D1811">
        <v>420202</v>
      </c>
      <c r="E1811" t="s">
        <v>19</v>
      </c>
      <c r="F1811">
        <v>60001</v>
      </c>
      <c r="G1811" t="s">
        <v>358</v>
      </c>
      <c r="H1811">
        <v>6</v>
      </c>
      <c r="I1811" t="s">
        <v>32</v>
      </c>
      <c r="J1811">
        <v>1</v>
      </c>
      <c r="K1811" s="4">
        <v>1250</v>
      </c>
      <c r="L1811" s="4">
        <v>1250</v>
      </c>
    </row>
    <row r="1812" spans="2:12" ht="12.75">
      <c r="B1812" t="str">
        <f>"6810"</f>
        <v>6810</v>
      </c>
      <c r="C1812" t="s">
        <v>499</v>
      </c>
      <c r="D1812">
        <v>420202</v>
      </c>
      <c r="E1812" t="s">
        <v>19</v>
      </c>
      <c r="F1812">
        <v>60002</v>
      </c>
      <c r="G1812" t="s">
        <v>31</v>
      </c>
      <c r="H1812">
        <v>6</v>
      </c>
      <c r="I1812" t="s">
        <v>32</v>
      </c>
      <c r="J1812">
        <v>2</v>
      </c>
      <c r="K1812" s="4">
        <v>250</v>
      </c>
      <c r="L1812" s="4">
        <v>500</v>
      </c>
    </row>
    <row r="1813" spans="1:2" ht="12.75">
      <c r="A1813" t="s">
        <v>47</v>
      </c>
      <c r="B1813">
        <f>SUM(L1810:L1812)</f>
        <v>2590</v>
      </c>
    </row>
    <row r="1815" ht="12.75">
      <c r="A1815" t="str">
        <f>"6234 - Upravna enota Pesnica, verzija: 1"</f>
        <v>6234 - Upravna enota Pesnica, verzija: 1</v>
      </c>
    </row>
    <row r="1816" spans="2:13" ht="12.75">
      <c r="B1816" t="s">
        <v>3</v>
      </c>
      <c r="D1816" t="s">
        <v>4</v>
      </c>
      <c r="F1816" t="s">
        <v>5</v>
      </c>
      <c r="H1816" t="s">
        <v>6</v>
      </c>
      <c r="J1816" t="s">
        <v>7</v>
      </c>
      <c r="K1816" s="4" t="s">
        <v>8</v>
      </c>
      <c r="L1816" s="4" t="s">
        <v>9</v>
      </c>
      <c r="M1816" t="s">
        <v>10</v>
      </c>
    </row>
    <row r="1817" spans="2:13" ht="12.75">
      <c r="B1817" t="str">
        <f>"6808"</f>
        <v>6808</v>
      </c>
      <c r="C1817" t="s">
        <v>499</v>
      </c>
      <c r="D1817">
        <v>420202</v>
      </c>
      <c r="E1817" t="s">
        <v>19</v>
      </c>
      <c r="F1817">
        <v>400006</v>
      </c>
      <c r="G1817" t="s">
        <v>32</v>
      </c>
      <c r="H1817">
        <v>40</v>
      </c>
      <c r="I1817" t="s">
        <v>50</v>
      </c>
      <c r="J1817">
        <v>1</v>
      </c>
      <c r="K1817" s="4">
        <v>230</v>
      </c>
      <c r="L1817" s="4">
        <v>230</v>
      </c>
      <c r="M1817" t="s">
        <v>504</v>
      </c>
    </row>
    <row r="1818" spans="1:2" ht="12.75">
      <c r="A1818" t="s">
        <v>47</v>
      </c>
      <c r="B1818">
        <f>SUM(L1817:L1817)</f>
        <v>230</v>
      </c>
    </row>
    <row r="1820" ht="12.75">
      <c r="A1820" t="str">
        <f>"6238 - Upravna enota Radlje ob Dravi, verzija: 1"</f>
        <v>6238 - Upravna enota Radlje ob Dravi, verzija: 1</v>
      </c>
    </row>
    <row r="1821" spans="2:13" ht="12.75">
      <c r="B1821" t="s">
        <v>3</v>
      </c>
      <c r="D1821" t="s">
        <v>4</v>
      </c>
      <c r="F1821" t="s">
        <v>5</v>
      </c>
      <c r="H1821" t="s">
        <v>6</v>
      </c>
      <c r="J1821" t="s">
        <v>7</v>
      </c>
      <c r="K1821" s="4" t="s">
        <v>8</v>
      </c>
      <c r="L1821" s="4" t="s">
        <v>9</v>
      </c>
      <c r="M1821" t="s">
        <v>10</v>
      </c>
    </row>
    <row r="1822" spans="2:12" ht="12.75">
      <c r="B1822" t="str">
        <f>"3645"</f>
        <v>3645</v>
      </c>
      <c r="C1822" t="s">
        <v>27</v>
      </c>
      <c r="D1822">
        <v>420202</v>
      </c>
      <c r="E1822" t="s">
        <v>19</v>
      </c>
      <c r="F1822">
        <v>10003</v>
      </c>
      <c r="G1822" t="s">
        <v>28</v>
      </c>
      <c r="H1822">
        <v>1</v>
      </c>
      <c r="I1822" t="s">
        <v>21</v>
      </c>
      <c r="J1822">
        <v>10</v>
      </c>
      <c r="K1822" s="4">
        <v>500</v>
      </c>
      <c r="L1822" s="4">
        <v>5000</v>
      </c>
    </row>
    <row r="1823" spans="1:2" ht="12.75">
      <c r="A1823" t="s">
        <v>47</v>
      </c>
      <c r="B1823">
        <f>SUM(L1822:L1822)</f>
        <v>5000</v>
      </c>
    </row>
    <row r="1825" ht="12.75">
      <c r="A1825" t="str">
        <f>"6240 - Upravna enota Ravne na Koroškem, verzija: 1"</f>
        <v>6240 - Upravna enota Ravne na Koroškem, verzija: 1</v>
      </c>
    </row>
    <row r="1826" spans="2:13" ht="12.75">
      <c r="B1826" t="s">
        <v>3</v>
      </c>
      <c r="D1826" t="s">
        <v>4</v>
      </c>
      <c r="F1826" t="s">
        <v>5</v>
      </c>
      <c r="H1826" t="s">
        <v>6</v>
      </c>
      <c r="J1826" t="s">
        <v>7</v>
      </c>
      <c r="K1826" s="4" t="s">
        <v>8</v>
      </c>
      <c r="L1826" s="4" t="s">
        <v>9</v>
      </c>
      <c r="M1826" t="s">
        <v>10</v>
      </c>
    </row>
    <row r="1827" spans="2:12" ht="12.75">
      <c r="B1827" t="str">
        <f>"3651"</f>
        <v>3651</v>
      </c>
      <c r="C1827" t="s">
        <v>27</v>
      </c>
      <c r="D1827">
        <v>420238</v>
      </c>
      <c r="E1827" t="s">
        <v>34</v>
      </c>
      <c r="F1827">
        <v>40005</v>
      </c>
      <c r="G1827" t="s">
        <v>25</v>
      </c>
      <c r="H1827">
        <v>4</v>
      </c>
      <c r="I1827" t="s">
        <v>23</v>
      </c>
      <c r="J1827">
        <v>2</v>
      </c>
      <c r="K1827" s="4">
        <v>417.5</v>
      </c>
      <c r="L1827" s="4">
        <v>835</v>
      </c>
    </row>
    <row r="1828" spans="1:2" ht="12.75">
      <c r="A1828" t="s">
        <v>47</v>
      </c>
      <c r="B1828">
        <f>SUM(L1827:L1827)</f>
        <v>835</v>
      </c>
    </row>
    <row r="1830" ht="12.75">
      <c r="A1830" t="str">
        <f>"6241 - Upravna enota Ribnica, verzija: 2"</f>
        <v>6241 - Upravna enota Ribnica, verzija: 2</v>
      </c>
    </row>
    <row r="1831" spans="2:13" ht="12.75">
      <c r="B1831" t="s">
        <v>3</v>
      </c>
      <c r="D1831" t="s">
        <v>4</v>
      </c>
      <c r="F1831" t="s">
        <v>5</v>
      </c>
      <c r="H1831" t="s">
        <v>6</v>
      </c>
      <c r="J1831" t="s">
        <v>7</v>
      </c>
      <c r="K1831" s="4" t="s">
        <v>8</v>
      </c>
      <c r="L1831" s="4" t="s">
        <v>9</v>
      </c>
      <c r="M1831" t="s">
        <v>10</v>
      </c>
    </row>
    <row r="1832" spans="2:12" ht="12.75">
      <c r="B1832" t="str">
        <f>"3654"</f>
        <v>3654</v>
      </c>
      <c r="C1832" t="s">
        <v>27</v>
      </c>
      <c r="D1832">
        <v>420704</v>
      </c>
      <c r="E1832" t="s">
        <v>24</v>
      </c>
      <c r="F1832">
        <v>50003</v>
      </c>
      <c r="G1832" t="s">
        <v>347</v>
      </c>
      <c r="H1832">
        <v>5</v>
      </c>
      <c r="I1832" t="s">
        <v>89</v>
      </c>
      <c r="J1832">
        <v>1</v>
      </c>
      <c r="K1832" s="4">
        <v>4330</v>
      </c>
      <c r="L1832" s="4">
        <v>4330</v>
      </c>
    </row>
    <row r="1833" spans="2:12" ht="12.75">
      <c r="B1833" t="str">
        <f>"5322"</f>
        <v>5322</v>
      </c>
      <c r="C1833" t="s">
        <v>499</v>
      </c>
      <c r="D1833">
        <v>420704</v>
      </c>
      <c r="E1833" t="s">
        <v>24</v>
      </c>
      <c r="F1833">
        <v>450002</v>
      </c>
      <c r="G1833" t="s">
        <v>505</v>
      </c>
      <c r="H1833">
        <v>45</v>
      </c>
      <c r="I1833" t="s">
        <v>43</v>
      </c>
      <c r="J1833">
        <v>1</v>
      </c>
      <c r="K1833" s="4">
        <v>50</v>
      </c>
      <c r="L1833" s="4">
        <v>50</v>
      </c>
    </row>
    <row r="1834" spans="1:2" ht="12.75">
      <c r="A1834" t="s">
        <v>47</v>
      </c>
      <c r="B1834">
        <f>SUM(L1832:L1833)</f>
        <v>4380</v>
      </c>
    </row>
    <row r="1836" ht="12.75">
      <c r="A1836" t="str">
        <f>"6243 - Upravna enota Sevnica, verzija: 2"</f>
        <v>6243 - Upravna enota Sevnica, verzija: 2</v>
      </c>
    </row>
    <row r="1837" spans="2:13" ht="12.75">
      <c r="B1837" t="s">
        <v>3</v>
      </c>
      <c r="D1837" t="s">
        <v>4</v>
      </c>
      <c r="F1837" t="s">
        <v>5</v>
      </c>
      <c r="H1837" t="s">
        <v>6</v>
      </c>
      <c r="J1837" t="s">
        <v>7</v>
      </c>
      <c r="K1837" s="4" t="s">
        <v>8</v>
      </c>
      <c r="L1837" s="4" t="s">
        <v>9</v>
      </c>
      <c r="M1837" t="s">
        <v>10</v>
      </c>
    </row>
    <row r="1838" spans="2:13" ht="12.75">
      <c r="B1838" t="str">
        <f>"2788"</f>
        <v>2788</v>
      </c>
      <c r="C1838" t="s">
        <v>40</v>
      </c>
      <c r="D1838">
        <v>402604</v>
      </c>
      <c r="E1838" t="s">
        <v>97</v>
      </c>
      <c r="F1838">
        <v>410004</v>
      </c>
      <c r="G1838" t="s">
        <v>265</v>
      </c>
      <c r="H1838">
        <v>41</v>
      </c>
      <c r="I1838" t="s">
        <v>14</v>
      </c>
      <c r="J1838">
        <v>1</v>
      </c>
      <c r="K1838" s="4">
        <v>1600</v>
      </c>
      <c r="L1838" s="4">
        <v>1600</v>
      </c>
      <c r="M1838" t="s">
        <v>506</v>
      </c>
    </row>
    <row r="1839" spans="1:2" ht="12.75">
      <c r="A1839" t="s">
        <v>47</v>
      </c>
      <c r="B1839">
        <f>SUM(L1838:L1838)</f>
        <v>1600</v>
      </c>
    </row>
    <row r="1841" ht="12.75">
      <c r="A1841" t="str">
        <f>"6246 - Upravna enota Slovenska Bistrica, verzija: 1"</f>
        <v>6246 - Upravna enota Slovenska Bistrica, verzija: 1</v>
      </c>
    </row>
    <row r="1842" spans="2:13" ht="12.75">
      <c r="B1842" t="s">
        <v>3</v>
      </c>
      <c r="D1842" t="s">
        <v>4</v>
      </c>
      <c r="F1842" t="s">
        <v>5</v>
      </c>
      <c r="H1842" t="s">
        <v>6</v>
      </c>
      <c r="J1842" t="s">
        <v>7</v>
      </c>
      <c r="K1842" s="4" t="s">
        <v>8</v>
      </c>
      <c r="L1842" s="4" t="s">
        <v>9</v>
      </c>
      <c r="M1842" t="s">
        <v>10</v>
      </c>
    </row>
    <row r="1843" spans="2:12" ht="12.75">
      <c r="B1843" t="str">
        <f>"7550"</f>
        <v>7550</v>
      </c>
      <c r="C1843" t="s">
        <v>499</v>
      </c>
      <c r="D1843">
        <v>420202</v>
      </c>
      <c r="E1843" t="s">
        <v>19</v>
      </c>
      <c r="F1843">
        <v>300001</v>
      </c>
      <c r="G1843" t="s">
        <v>25</v>
      </c>
      <c r="H1843">
        <v>30</v>
      </c>
      <c r="I1843" t="s">
        <v>94</v>
      </c>
      <c r="J1843">
        <v>2</v>
      </c>
      <c r="K1843" s="4">
        <v>130</v>
      </c>
      <c r="L1843" s="4">
        <v>260</v>
      </c>
    </row>
    <row r="1844" spans="1:2" ht="12.75">
      <c r="A1844" t="s">
        <v>47</v>
      </c>
      <c r="B1844">
        <f>SUM(L1843:L1843)</f>
        <v>260</v>
      </c>
    </row>
    <row r="1846" ht="12.75">
      <c r="A1846" t="str">
        <f>"6250 - Upravna enota Šmarje pri Jelšah, verzija: 2"</f>
        <v>6250 - Upravna enota Šmarje pri Jelšah, verzija: 2</v>
      </c>
    </row>
    <row r="1847" spans="2:13" ht="12.75">
      <c r="B1847" t="s">
        <v>3</v>
      </c>
      <c r="D1847" t="s">
        <v>4</v>
      </c>
      <c r="F1847" t="s">
        <v>5</v>
      </c>
      <c r="H1847" t="s">
        <v>6</v>
      </c>
      <c r="J1847" t="s">
        <v>7</v>
      </c>
      <c r="K1847" s="4" t="s">
        <v>8</v>
      </c>
      <c r="L1847" s="4" t="s">
        <v>9</v>
      </c>
      <c r="M1847" t="s">
        <v>10</v>
      </c>
    </row>
    <row r="1848" spans="2:12" ht="12.75">
      <c r="B1848" t="str">
        <f>"2797"</f>
        <v>2797</v>
      </c>
      <c r="C1848" t="s">
        <v>40</v>
      </c>
      <c r="D1848">
        <v>402607</v>
      </c>
      <c r="E1848" t="s">
        <v>91</v>
      </c>
      <c r="F1848">
        <v>400024</v>
      </c>
      <c r="G1848" t="s">
        <v>25</v>
      </c>
      <c r="H1848">
        <v>40</v>
      </c>
      <c r="I1848" t="s">
        <v>50</v>
      </c>
      <c r="J1848">
        <v>1</v>
      </c>
      <c r="K1848" s="4">
        <v>2454</v>
      </c>
      <c r="L1848" s="4">
        <v>2454</v>
      </c>
    </row>
    <row r="1849" spans="1:2" ht="12.75">
      <c r="A1849" t="s">
        <v>47</v>
      </c>
      <c r="B1849">
        <f>SUM(L1848:L1848)</f>
        <v>2454</v>
      </c>
    </row>
    <row r="1851" ht="12.75">
      <c r="A1851" t="str">
        <f>"6251 - Upravna enota Tolmin, verzija: 1"</f>
        <v>6251 - Upravna enota Tolmin, verzija: 1</v>
      </c>
    </row>
    <row r="1852" spans="2:13" ht="12.75">
      <c r="B1852" t="s">
        <v>3</v>
      </c>
      <c r="D1852" t="s">
        <v>4</v>
      </c>
      <c r="F1852" t="s">
        <v>5</v>
      </c>
      <c r="H1852" t="s">
        <v>6</v>
      </c>
      <c r="J1852" t="s">
        <v>7</v>
      </c>
      <c r="K1852" s="4" t="s">
        <v>8</v>
      </c>
      <c r="L1852" s="4" t="s">
        <v>9</v>
      </c>
      <c r="M1852" t="s">
        <v>10</v>
      </c>
    </row>
    <row r="1853" spans="2:12" ht="12.75">
      <c r="B1853" t="str">
        <f>"3676"</f>
        <v>3676</v>
      </c>
      <c r="C1853" t="s">
        <v>27</v>
      </c>
      <c r="D1853">
        <v>420238</v>
      </c>
      <c r="E1853" t="s">
        <v>34</v>
      </c>
      <c r="F1853">
        <v>390005</v>
      </c>
      <c r="G1853" t="s">
        <v>25</v>
      </c>
      <c r="H1853">
        <v>39</v>
      </c>
      <c r="I1853" t="s">
        <v>141</v>
      </c>
      <c r="J1853">
        <v>8</v>
      </c>
      <c r="K1853" s="4">
        <v>32.5</v>
      </c>
      <c r="L1853" s="4">
        <v>260</v>
      </c>
    </row>
    <row r="1854" spans="1:2" ht="12.75">
      <c r="A1854" t="s">
        <v>47</v>
      </c>
      <c r="B1854">
        <f>SUM(L1853:L1853)</f>
        <v>260</v>
      </c>
    </row>
    <row r="1856" ht="12.75">
      <c r="A1856" t="str">
        <f>"6253 - Upravna enota Trebnje, verzija: 1"</f>
        <v>6253 - Upravna enota Trebnje, verzija: 1</v>
      </c>
    </row>
    <row r="1857" spans="2:13" ht="12.75">
      <c r="B1857" t="s">
        <v>3</v>
      </c>
      <c r="D1857" t="s">
        <v>4</v>
      </c>
      <c r="F1857" t="s">
        <v>5</v>
      </c>
      <c r="H1857" t="s">
        <v>6</v>
      </c>
      <c r="J1857" t="s">
        <v>7</v>
      </c>
      <c r="K1857" s="4" t="s">
        <v>8</v>
      </c>
      <c r="L1857" s="4" t="s">
        <v>9</v>
      </c>
      <c r="M1857" t="s">
        <v>10</v>
      </c>
    </row>
    <row r="1858" spans="2:12" ht="12.75">
      <c r="B1858" t="str">
        <f>"3682"</f>
        <v>3682</v>
      </c>
      <c r="C1858" t="s">
        <v>27</v>
      </c>
      <c r="D1858">
        <v>420202</v>
      </c>
      <c r="E1858" t="s">
        <v>19</v>
      </c>
      <c r="F1858">
        <v>10002</v>
      </c>
      <c r="G1858" t="s">
        <v>20</v>
      </c>
      <c r="H1858">
        <v>1</v>
      </c>
      <c r="I1858" t="s">
        <v>21</v>
      </c>
      <c r="J1858">
        <v>4</v>
      </c>
      <c r="K1858" s="4">
        <v>480</v>
      </c>
      <c r="L1858" s="4">
        <v>1920</v>
      </c>
    </row>
    <row r="1859" spans="2:12" ht="12.75">
      <c r="B1859" t="str">
        <f>"3682"</f>
        <v>3682</v>
      </c>
      <c r="C1859" t="s">
        <v>27</v>
      </c>
      <c r="D1859">
        <v>420202</v>
      </c>
      <c r="E1859" t="s">
        <v>19</v>
      </c>
      <c r="F1859">
        <v>60001</v>
      </c>
      <c r="G1859" t="s">
        <v>358</v>
      </c>
      <c r="H1859">
        <v>6</v>
      </c>
      <c r="I1859" t="s">
        <v>32</v>
      </c>
      <c r="J1859">
        <v>3</v>
      </c>
      <c r="K1859" s="4">
        <v>650</v>
      </c>
      <c r="L1859" s="4">
        <v>1950</v>
      </c>
    </row>
    <row r="1860" spans="2:12" ht="12.75">
      <c r="B1860" t="str">
        <f>"3682"</f>
        <v>3682</v>
      </c>
      <c r="C1860" t="s">
        <v>27</v>
      </c>
      <c r="D1860">
        <v>420202</v>
      </c>
      <c r="E1860" t="s">
        <v>19</v>
      </c>
      <c r="F1860">
        <v>60002</v>
      </c>
      <c r="G1860" t="s">
        <v>31</v>
      </c>
      <c r="H1860">
        <v>6</v>
      </c>
      <c r="I1860" t="s">
        <v>32</v>
      </c>
      <c r="J1860">
        <v>1</v>
      </c>
      <c r="K1860" s="4">
        <v>1100</v>
      </c>
      <c r="L1860" s="4">
        <v>1100</v>
      </c>
    </row>
    <row r="1861" spans="1:2" ht="12.75">
      <c r="A1861" t="s">
        <v>47</v>
      </c>
      <c r="B1861">
        <f>SUM(L1858:L1860)</f>
        <v>4970</v>
      </c>
    </row>
    <row r="1863" ht="12.75">
      <c r="A1863" t="str">
        <f>"6255 - Upravna enota Velenje, verzija: 1"</f>
        <v>6255 - Upravna enota Velenje, verzija: 1</v>
      </c>
    </row>
    <row r="1864" spans="2:13" ht="12.75">
      <c r="B1864" t="s">
        <v>3</v>
      </c>
      <c r="D1864" t="s">
        <v>4</v>
      </c>
      <c r="F1864" t="s">
        <v>5</v>
      </c>
      <c r="H1864" t="s">
        <v>6</v>
      </c>
      <c r="J1864" t="s">
        <v>7</v>
      </c>
      <c r="K1864" s="4" t="s">
        <v>8</v>
      </c>
      <c r="L1864" s="4" t="s">
        <v>9</v>
      </c>
      <c r="M1864" t="s">
        <v>10</v>
      </c>
    </row>
    <row r="1865" spans="2:12" ht="12.75">
      <c r="B1865" t="str">
        <f>"3687"</f>
        <v>3687</v>
      </c>
      <c r="C1865" t="s">
        <v>27</v>
      </c>
      <c r="D1865">
        <v>420202</v>
      </c>
      <c r="E1865" t="s">
        <v>19</v>
      </c>
      <c r="F1865">
        <v>10002</v>
      </c>
      <c r="G1865" t="s">
        <v>20</v>
      </c>
      <c r="H1865">
        <v>1</v>
      </c>
      <c r="I1865" t="s">
        <v>21</v>
      </c>
      <c r="J1865">
        <v>4</v>
      </c>
      <c r="K1865" s="4">
        <v>1000</v>
      </c>
      <c r="L1865" s="4">
        <v>4000</v>
      </c>
    </row>
    <row r="1866" spans="2:12" ht="12.75">
      <c r="B1866" t="str">
        <f>"3687"</f>
        <v>3687</v>
      </c>
      <c r="C1866" t="s">
        <v>27</v>
      </c>
      <c r="D1866">
        <v>420202</v>
      </c>
      <c r="E1866" t="s">
        <v>19</v>
      </c>
      <c r="F1866">
        <v>40002</v>
      </c>
      <c r="G1866" t="s">
        <v>22</v>
      </c>
      <c r="H1866">
        <v>4</v>
      </c>
      <c r="I1866" t="s">
        <v>23</v>
      </c>
      <c r="J1866">
        <v>4</v>
      </c>
      <c r="K1866" s="4">
        <v>300</v>
      </c>
      <c r="L1866" s="4">
        <v>1200</v>
      </c>
    </row>
    <row r="1867" spans="2:12" ht="12.75">
      <c r="B1867" t="str">
        <f>"3687"</f>
        <v>3687</v>
      </c>
      <c r="C1867" t="s">
        <v>27</v>
      </c>
      <c r="D1867">
        <v>420238</v>
      </c>
      <c r="E1867" t="s">
        <v>34</v>
      </c>
      <c r="F1867">
        <v>400024</v>
      </c>
      <c r="G1867" t="s">
        <v>25</v>
      </c>
      <c r="H1867">
        <v>40</v>
      </c>
      <c r="I1867" t="s">
        <v>50</v>
      </c>
      <c r="J1867">
        <v>2</v>
      </c>
      <c r="K1867" s="4">
        <v>50</v>
      </c>
      <c r="L1867" s="4">
        <v>100</v>
      </c>
    </row>
    <row r="1868" spans="1:2" ht="12.75">
      <c r="A1868" t="s">
        <v>47</v>
      </c>
      <c r="B1868">
        <f>SUM(L1865:L1867)</f>
        <v>5300</v>
      </c>
    </row>
    <row r="1870" ht="12.75">
      <c r="A1870" t="str">
        <f>"3211 - Ministrstvo za visoko šolstvo, znanost in tehnologijo, verzija: 1"</f>
        <v>3211 - Ministrstvo za visoko šolstvo, znanost in tehnologijo, verzija: 1</v>
      </c>
    </row>
    <row r="1871" spans="2:13" ht="12.75">
      <c r="B1871" t="s">
        <v>3</v>
      </c>
      <c r="D1871" t="s">
        <v>4</v>
      </c>
      <c r="F1871" t="s">
        <v>5</v>
      </c>
      <c r="H1871" t="s">
        <v>6</v>
      </c>
      <c r="J1871" t="s">
        <v>7</v>
      </c>
      <c r="K1871" s="4" t="s">
        <v>8</v>
      </c>
      <c r="L1871" s="4" t="s">
        <v>9</v>
      </c>
      <c r="M1871" t="s">
        <v>10</v>
      </c>
    </row>
    <row r="1872" spans="2:12" ht="12.75">
      <c r="B1872" t="str">
        <f aca="true" t="shared" si="85" ref="B1872:B1883">"5661"</f>
        <v>5661</v>
      </c>
      <c r="C1872" t="s">
        <v>27</v>
      </c>
      <c r="D1872">
        <v>402515</v>
      </c>
      <c r="E1872" t="s">
        <v>15</v>
      </c>
      <c r="F1872">
        <v>350001</v>
      </c>
      <c r="G1872" t="s">
        <v>16</v>
      </c>
      <c r="H1872">
        <v>35</v>
      </c>
      <c r="I1872" t="s">
        <v>17</v>
      </c>
      <c r="J1872">
        <v>1</v>
      </c>
      <c r="K1872" s="4">
        <v>4000</v>
      </c>
      <c r="L1872" s="4">
        <v>4000</v>
      </c>
    </row>
    <row r="1873" spans="2:12" ht="12.75">
      <c r="B1873" t="str">
        <f t="shared" si="85"/>
        <v>5661</v>
      </c>
      <c r="C1873" t="s">
        <v>27</v>
      </c>
      <c r="D1873">
        <v>402515</v>
      </c>
      <c r="E1873" t="s">
        <v>15</v>
      </c>
      <c r="F1873">
        <v>350007</v>
      </c>
      <c r="G1873" t="s">
        <v>261</v>
      </c>
      <c r="H1873">
        <v>35</v>
      </c>
      <c r="I1873" t="s">
        <v>17</v>
      </c>
      <c r="J1873">
        <v>1</v>
      </c>
      <c r="K1873" s="4">
        <v>1000</v>
      </c>
      <c r="L1873" s="4">
        <v>1000</v>
      </c>
    </row>
    <row r="1874" spans="2:12" ht="12.75">
      <c r="B1874" t="str">
        <f t="shared" si="85"/>
        <v>5661</v>
      </c>
      <c r="C1874" t="s">
        <v>27</v>
      </c>
      <c r="D1874">
        <v>402515</v>
      </c>
      <c r="E1874" t="s">
        <v>15</v>
      </c>
      <c r="F1874">
        <v>350008</v>
      </c>
      <c r="G1874" t="s">
        <v>127</v>
      </c>
      <c r="H1874">
        <v>35</v>
      </c>
      <c r="I1874" t="s">
        <v>17</v>
      </c>
      <c r="J1874">
        <v>1</v>
      </c>
      <c r="K1874" s="4">
        <v>3000</v>
      </c>
      <c r="L1874" s="4">
        <v>3000</v>
      </c>
    </row>
    <row r="1875" spans="2:12" ht="12.75">
      <c r="B1875" t="str">
        <f t="shared" si="85"/>
        <v>5661</v>
      </c>
      <c r="C1875" t="s">
        <v>27</v>
      </c>
      <c r="D1875">
        <v>402516</v>
      </c>
      <c r="E1875" t="s">
        <v>109</v>
      </c>
      <c r="F1875">
        <v>410005</v>
      </c>
      <c r="G1875" t="s">
        <v>190</v>
      </c>
      <c r="H1875">
        <v>41</v>
      </c>
      <c r="I1875" t="s">
        <v>14</v>
      </c>
      <c r="J1875">
        <v>1</v>
      </c>
      <c r="K1875" s="4">
        <v>6000</v>
      </c>
      <c r="L1875" s="4">
        <v>6000</v>
      </c>
    </row>
    <row r="1876" spans="2:12" ht="12.75">
      <c r="B1876" t="str">
        <f t="shared" si="85"/>
        <v>5661</v>
      </c>
      <c r="C1876" t="s">
        <v>27</v>
      </c>
      <c r="D1876">
        <v>420202</v>
      </c>
      <c r="E1876" t="s">
        <v>19</v>
      </c>
      <c r="F1876">
        <v>10002</v>
      </c>
      <c r="G1876" t="s">
        <v>20</v>
      </c>
      <c r="H1876">
        <v>1</v>
      </c>
      <c r="I1876" t="s">
        <v>21</v>
      </c>
      <c r="J1876">
        <v>18</v>
      </c>
      <c r="K1876" s="4">
        <v>760</v>
      </c>
      <c r="L1876" s="4">
        <v>13680</v>
      </c>
    </row>
    <row r="1877" spans="2:12" ht="12.75">
      <c r="B1877" t="str">
        <f t="shared" si="85"/>
        <v>5661</v>
      </c>
      <c r="C1877" t="s">
        <v>27</v>
      </c>
      <c r="D1877">
        <v>420202</v>
      </c>
      <c r="E1877" t="s">
        <v>19</v>
      </c>
      <c r="F1877">
        <v>20001</v>
      </c>
      <c r="G1877" t="s">
        <v>29</v>
      </c>
      <c r="H1877">
        <v>2</v>
      </c>
      <c r="I1877" t="s">
        <v>30</v>
      </c>
      <c r="J1877">
        <v>14</v>
      </c>
      <c r="K1877" s="4">
        <v>1500</v>
      </c>
      <c r="L1877" s="4">
        <v>21000</v>
      </c>
    </row>
    <row r="1878" spans="2:12" ht="12.75">
      <c r="B1878" t="str">
        <f t="shared" si="85"/>
        <v>5661</v>
      </c>
      <c r="C1878" t="s">
        <v>27</v>
      </c>
      <c r="D1878">
        <v>420202</v>
      </c>
      <c r="E1878" t="s">
        <v>19</v>
      </c>
      <c r="F1878">
        <v>40002</v>
      </c>
      <c r="G1878" t="s">
        <v>22</v>
      </c>
      <c r="H1878">
        <v>4</v>
      </c>
      <c r="I1878" t="s">
        <v>23</v>
      </c>
      <c r="J1878">
        <v>18</v>
      </c>
      <c r="K1878" s="4">
        <v>400</v>
      </c>
      <c r="L1878" s="4">
        <v>7200</v>
      </c>
    </row>
    <row r="1879" spans="2:12" ht="12.75">
      <c r="B1879" t="str">
        <f t="shared" si="85"/>
        <v>5661</v>
      </c>
      <c r="C1879" t="s">
        <v>27</v>
      </c>
      <c r="D1879">
        <v>420202</v>
      </c>
      <c r="E1879" t="s">
        <v>19</v>
      </c>
      <c r="F1879">
        <v>60002</v>
      </c>
      <c r="G1879" t="s">
        <v>31</v>
      </c>
      <c r="H1879">
        <v>6</v>
      </c>
      <c r="I1879" t="s">
        <v>32</v>
      </c>
      <c r="J1879">
        <v>4</v>
      </c>
      <c r="K1879" s="4">
        <v>1000</v>
      </c>
      <c r="L1879" s="4">
        <v>4000</v>
      </c>
    </row>
    <row r="1880" spans="2:12" ht="12.75">
      <c r="B1880" t="str">
        <f t="shared" si="85"/>
        <v>5661</v>
      </c>
      <c r="C1880" t="s">
        <v>27</v>
      </c>
      <c r="D1880">
        <v>420202</v>
      </c>
      <c r="E1880" t="s">
        <v>19</v>
      </c>
      <c r="F1880">
        <v>70003</v>
      </c>
      <c r="G1880" t="s">
        <v>73</v>
      </c>
      <c r="H1880">
        <v>7</v>
      </c>
      <c r="I1880" t="s">
        <v>74</v>
      </c>
      <c r="J1880">
        <v>5</v>
      </c>
      <c r="K1880" s="4">
        <v>1600</v>
      </c>
      <c r="L1880" s="4">
        <v>8000</v>
      </c>
    </row>
    <row r="1881" spans="2:12" ht="12.75">
      <c r="B1881" t="str">
        <f t="shared" si="85"/>
        <v>5661</v>
      </c>
      <c r="C1881" t="s">
        <v>27</v>
      </c>
      <c r="D1881">
        <v>420703</v>
      </c>
      <c r="E1881" t="s">
        <v>51</v>
      </c>
      <c r="F1881">
        <v>260002</v>
      </c>
      <c r="G1881" t="s">
        <v>507</v>
      </c>
      <c r="H1881">
        <v>26</v>
      </c>
      <c r="I1881" t="s">
        <v>69</v>
      </c>
      <c r="J1881">
        <v>1</v>
      </c>
      <c r="K1881" s="4">
        <v>2000</v>
      </c>
      <c r="L1881" s="4">
        <v>2000</v>
      </c>
    </row>
    <row r="1882" spans="2:12" ht="12.75">
      <c r="B1882" t="str">
        <f t="shared" si="85"/>
        <v>5661</v>
      </c>
      <c r="C1882" t="s">
        <v>27</v>
      </c>
      <c r="D1882">
        <v>420703</v>
      </c>
      <c r="E1882" t="s">
        <v>51</v>
      </c>
      <c r="F1882">
        <v>310007</v>
      </c>
      <c r="G1882" t="s">
        <v>82</v>
      </c>
      <c r="H1882">
        <v>31</v>
      </c>
      <c r="I1882" t="s">
        <v>26</v>
      </c>
      <c r="J1882">
        <v>1</v>
      </c>
      <c r="K1882" s="4">
        <v>19837</v>
      </c>
      <c r="L1882" s="4">
        <v>19837</v>
      </c>
    </row>
    <row r="1883" spans="2:12" ht="12.75">
      <c r="B1883" t="str">
        <f t="shared" si="85"/>
        <v>5661</v>
      </c>
      <c r="C1883" t="s">
        <v>27</v>
      </c>
      <c r="D1883">
        <v>420704</v>
      </c>
      <c r="E1883" t="s">
        <v>24</v>
      </c>
      <c r="F1883">
        <v>370001</v>
      </c>
      <c r="G1883" t="s">
        <v>133</v>
      </c>
      <c r="H1883">
        <v>37</v>
      </c>
      <c r="I1883" t="s">
        <v>134</v>
      </c>
      <c r="J1883">
        <v>1</v>
      </c>
      <c r="K1883" s="4">
        <v>56782</v>
      </c>
      <c r="L1883" s="4">
        <v>56782</v>
      </c>
    </row>
    <row r="1884" spans="1:2" ht="12.75">
      <c r="A1884" t="s">
        <v>47</v>
      </c>
      <c r="B1884">
        <f>SUM(L1872:L1883)</f>
        <v>146499</v>
      </c>
    </row>
    <row r="1886" ht="12.75">
      <c r="A1886" t="str">
        <f>"3212 - Urad za meroslovje, verzija: 1"</f>
        <v>3212 - Urad za meroslovje, verzija: 1</v>
      </c>
    </row>
    <row r="1887" spans="2:13" ht="12.75">
      <c r="B1887" t="s">
        <v>3</v>
      </c>
      <c r="D1887" t="s">
        <v>4</v>
      </c>
      <c r="F1887" t="s">
        <v>5</v>
      </c>
      <c r="H1887" t="s">
        <v>6</v>
      </c>
      <c r="J1887" t="s">
        <v>7</v>
      </c>
      <c r="K1887" s="4" t="s">
        <v>8</v>
      </c>
      <c r="L1887" s="4" t="s">
        <v>9</v>
      </c>
      <c r="M1887" t="s">
        <v>10</v>
      </c>
    </row>
    <row r="1888" spans="2:12" ht="12.75">
      <c r="B1888" t="str">
        <f>"5760"</f>
        <v>5760</v>
      </c>
      <c r="C1888" t="s">
        <v>40</v>
      </c>
      <c r="D1888">
        <v>402007</v>
      </c>
      <c r="E1888" t="s">
        <v>41</v>
      </c>
      <c r="F1888">
        <v>350005</v>
      </c>
      <c r="G1888" t="s">
        <v>96</v>
      </c>
      <c r="H1888">
        <v>35</v>
      </c>
      <c r="I1888" t="s">
        <v>17</v>
      </c>
      <c r="J1888">
        <v>1</v>
      </c>
      <c r="K1888" s="4">
        <v>23554</v>
      </c>
      <c r="L1888" s="4">
        <v>23554</v>
      </c>
    </row>
    <row r="1889" spans="2:12" ht="12.75">
      <c r="B1889" t="str">
        <f>"5760"</f>
        <v>5760</v>
      </c>
      <c r="C1889" t="s">
        <v>40</v>
      </c>
      <c r="D1889">
        <v>402510</v>
      </c>
      <c r="E1889" t="s">
        <v>12</v>
      </c>
      <c r="F1889">
        <v>400001</v>
      </c>
      <c r="G1889" t="s">
        <v>21</v>
      </c>
      <c r="H1889">
        <v>40</v>
      </c>
      <c r="I1889" t="s">
        <v>50</v>
      </c>
      <c r="J1889">
        <v>1</v>
      </c>
      <c r="K1889" s="4">
        <v>2260</v>
      </c>
      <c r="L1889" s="4">
        <v>2260</v>
      </c>
    </row>
    <row r="1890" spans="2:12" ht="12.75">
      <c r="B1890" t="str">
        <f>"5760"</f>
        <v>5760</v>
      </c>
      <c r="C1890" t="s">
        <v>40</v>
      </c>
      <c r="D1890">
        <v>402510</v>
      </c>
      <c r="E1890" t="s">
        <v>12</v>
      </c>
      <c r="F1890">
        <v>400002</v>
      </c>
      <c r="G1890" t="s">
        <v>30</v>
      </c>
      <c r="H1890">
        <v>40</v>
      </c>
      <c r="I1890" t="s">
        <v>50</v>
      </c>
      <c r="J1890">
        <v>1</v>
      </c>
      <c r="K1890" s="4">
        <v>2000</v>
      </c>
      <c r="L1890" s="4">
        <v>2000</v>
      </c>
    </row>
    <row r="1891" spans="2:12" ht="12.75">
      <c r="B1891" t="str">
        <f>"5760"</f>
        <v>5760</v>
      </c>
      <c r="C1891" t="s">
        <v>40</v>
      </c>
      <c r="D1891">
        <v>402510</v>
      </c>
      <c r="E1891" t="s">
        <v>12</v>
      </c>
      <c r="F1891">
        <v>400004</v>
      </c>
      <c r="G1891" t="s">
        <v>23</v>
      </c>
      <c r="H1891">
        <v>40</v>
      </c>
      <c r="I1891" t="s">
        <v>50</v>
      </c>
      <c r="J1891">
        <v>1</v>
      </c>
      <c r="K1891" s="4">
        <v>1000</v>
      </c>
      <c r="L1891" s="4">
        <v>1000</v>
      </c>
    </row>
    <row r="1892" spans="2:12" ht="12.75">
      <c r="B1892" t="str">
        <f>"5760"</f>
        <v>5760</v>
      </c>
      <c r="C1892" t="s">
        <v>40</v>
      </c>
      <c r="D1892">
        <v>402510</v>
      </c>
      <c r="E1892" t="s">
        <v>12</v>
      </c>
      <c r="F1892">
        <v>400006</v>
      </c>
      <c r="G1892" t="s">
        <v>32</v>
      </c>
      <c r="H1892">
        <v>40</v>
      </c>
      <c r="I1892" t="s">
        <v>50</v>
      </c>
      <c r="J1892">
        <v>1</v>
      </c>
      <c r="K1892" s="4">
        <v>1000</v>
      </c>
      <c r="L1892" s="4">
        <v>1000</v>
      </c>
    </row>
    <row r="1893" spans="2:12" ht="12.75">
      <c r="B1893" t="str">
        <f aca="true" t="shared" si="86" ref="B1893:B1901">"5761"</f>
        <v>5761</v>
      </c>
      <c r="C1893" t="s">
        <v>27</v>
      </c>
      <c r="D1893">
        <v>420202</v>
      </c>
      <c r="E1893" t="s">
        <v>19</v>
      </c>
      <c r="F1893">
        <v>10002</v>
      </c>
      <c r="G1893" t="s">
        <v>20</v>
      </c>
      <c r="H1893">
        <v>1</v>
      </c>
      <c r="I1893" t="s">
        <v>21</v>
      </c>
      <c r="J1893">
        <v>6</v>
      </c>
      <c r="K1893" s="4">
        <v>865</v>
      </c>
      <c r="L1893" s="4">
        <v>5190</v>
      </c>
    </row>
    <row r="1894" spans="2:12" ht="12.75">
      <c r="B1894" t="str">
        <f t="shared" si="86"/>
        <v>5761</v>
      </c>
      <c r="C1894" t="s">
        <v>27</v>
      </c>
      <c r="D1894">
        <v>420202</v>
      </c>
      <c r="E1894" t="s">
        <v>19</v>
      </c>
      <c r="F1894">
        <v>20001</v>
      </c>
      <c r="G1894" t="s">
        <v>29</v>
      </c>
      <c r="H1894">
        <v>2</v>
      </c>
      <c r="I1894" t="s">
        <v>30</v>
      </c>
      <c r="J1894">
        <v>4</v>
      </c>
      <c r="K1894" s="4">
        <v>1391</v>
      </c>
      <c r="L1894" s="4">
        <v>5564</v>
      </c>
    </row>
    <row r="1895" spans="2:12" ht="12.75">
      <c r="B1895" t="str">
        <f t="shared" si="86"/>
        <v>5761</v>
      </c>
      <c r="C1895" t="s">
        <v>27</v>
      </c>
      <c r="D1895">
        <v>420202</v>
      </c>
      <c r="E1895" t="s">
        <v>19</v>
      </c>
      <c r="F1895">
        <v>40002</v>
      </c>
      <c r="G1895" t="s">
        <v>22</v>
      </c>
      <c r="H1895">
        <v>4</v>
      </c>
      <c r="I1895" t="s">
        <v>23</v>
      </c>
      <c r="J1895">
        <v>4</v>
      </c>
      <c r="K1895" s="4">
        <v>271</v>
      </c>
      <c r="L1895" s="4">
        <v>1084</v>
      </c>
    </row>
    <row r="1896" spans="2:12" ht="12.75">
      <c r="B1896" t="str">
        <f t="shared" si="86"/>
        <v>5761</v>
      </c>
      <c r="C1896" t="s">
        <v>27</v>
      </c>
      <c r="D1896">
        <v>420202</v>
      </c>
      <c r="E1896" t="s">
        <v>19</v>
      </c>
      <c r="F1896">
        <v>60002</v>
      </c>
      <c r="G1896" t="s">
        <v>31</v>
      </c>
      <c r="H1896">
        <v>6</v>
      </c>
      <c r="I1896" t="s">
        <v>32</v>
      </c>
      <c r="J1896">
        <v>1</v>
      </c>
      <c r="K1896" s="4">
        <v>1794</v>
      </c>
      <c r="L1896" s="4">
        <v>1794</v>
      </c>
    </row>
    <row r="1897" spans="2:12" ht="12.75">
      <c r="B1897" t="str">
        <f t="shared" si="86"/>
        <v>5761</v>
      </c>
      <c r="C1897" t="s">
        <v>27</v>
      </c>
      <c r="D1897">
        <v>420202</v>
      </c>
      <c r="E1897" t="s">
        <v>19</v>
      </c>
      <c r="F1897">
        <v>70003</v>
      </c>
      <c r="G1897" t="s">
        <v>73</v>
      </c>
      <c r="H1897">
        <v>7</v>
      </c>
      <c r="I1897" t="s">
        <v>74</v>
      </c>
      <c r="J1897">
        <v>3</v>
      </c>
      <c r="K1897" s="4">
        <v>1100</v>
      </c>
      <c r="L1897" s="4">
        <v>3300</v>
      </c>
    </row>
    <row r="1898" spans="2:12" ht="12.75">
      <c r="B1898" t="str">
        <f t="shared" si="86"/>
        <v>5761</v>
      </c>
      <c r="C1898" t="s">
        <v>27</v>
      </c>
      <c r="D1898">
        <v>420202</v>
      </c>
      <c r="E1898" t="s">
        <v>19</v>
      </c>
      <c r="F1898">
        <v>250001</v>
      </c>
      <c r="G1898" t="s">
        <v>225</v>
      </c>
      <c r="H1898">
        <v>25</v>
      </c>
      <c r="I1898" t="s">
        <v>120</v>
      </c>
      <c r="J1898">
        <v>1</v>
      </c>
      <c r="K1898" s="4">
        <v>600</v>
      </c>
      <c r="L1898" s="4">
        <v>600</v>
      </c>
    </row>
    <row r="1899" spans="2:12" ht="12.75">
      <c r="B1899" t="str">
        <f t="shared" si="86"/>
        <v>5761</v>
      </c>
      <c r="C1899" t="s">
        <v>27</v>
      </c>
      <c r="D1899">
        <v>420248</v>
      </c>
      <c r="E1899" t="s">
        <v>36</v>
      </c>
      <c r="F1899">
        <v>120001</v>
      </c>
      <c r="G1899" t="s">
        <v>114</v>
      </c>
      <c r="H1899">
        <v>12</v>
      </c>
      <c r="I1899" t="s">
        <v>38</v>
      </c>
      <c r="J1899">
        <v>1</v>
      </c>
      <c r="K1899" s="4">
        <v>950</v>
      </c>
      <c r="L1899" s="4">
        <v>950</v>
      </c>
    </row>
    <row r="1900" spans="2:12" ht="12.75">
      <c r="B1900" t="str">
        <f t="shared" si="86"/>
        <v>5761</v>
      </c>
      <c r="C1900" t="s">
        <v>27</v>
      </c>
      <c r="D1900">
        <v>420249</v>
      </c>
      <c r="E1900" t="s">
        <v>39</v>
      </c>
      <c r="F1900">
        <v>290004</v>
      </c>
      <c r="G1900" t="s">
        <v>199</v>
      </c>
      <c r="H1900">
        <v>29</v>
      </c>
      <c r="I1900" t="s">
        <v>142</v>
      </c>
      <c r="J1900">
        <v>1</v>
      </c>
      <c r="K1900" s="4">
        <v>417</v>
      </c>
      <c r="L1900" s="4">
        <v>417</v>
      </c>
    </row>
    <row r="1901" spans="2:12" ht="12.75">
      <c r="B1901" t="str">
        <f t="shared" si="86"/>
        <v>5761</v>
      </c>
      <c r="C1901" t="s">
        <v>27</v>
      </c>
      <c r="D1901">
        <v>420703</v>
      </c>
      <c r="E1901" t="s">
        <v>51</v>
      </c>
      <c r="F1901">
        <v>310007</v>
      </c>
      <c r="G1901" t="s">
        <v>82</v>
      </c>
      <c r="H1901">
        <v>31</v>
      </c>
      <c r="I1901" t="s">
        <v>26</v>
      </c>
      <c r="J1901">
        <v>1</v>
      </c>
      <c r="K1901" s="4">
        <v>9100</v>
      </c>
      <c r="L1901" s="4">
        <v>9100</v>
      </c>
    </row>
    <row r="1902" spans="1:2" ht="12.75">
      <c r="A1902" t="s">
        <v>47</v>
      </c>
      <c r="B1902">
        <f>SUM(L1888:L1901)</f>
        <v>57813</v>
      </c>
    </row>
    <row r="1904" ht="12.75">
      <c r="A1904" t="str">
        <f>"3311 - Ministrstvo za šolstvo in šport, verzija: 1"</f>
        <v>3311 - Ministrstvo za šolstvo in šport, verzija: 1</v>
      </c>
    </row>
    <row r="1905" spans="2:13" ht="12.75">
      <c r="B1905" t="s">
        <v>3</v>
      </c>
      <c r="D1905" t="s">
        <v>4</v>
      </c>
      <c r="F1905" t="s">
        <v>5</v>
      </c>
      <c r="H1905" t="s">
        <v>6</v>
      </c>
      <c r="J1905" t="s">
        <v>7</v>
      </c>
      <c r="K1905" s="4" t="s">
        <v>8</v>
      </c>
      <c r="L1905" s="4" t="s">
        <v>9</v>
      </c>
      <c r="M1905" t="s">
        <v>10</v>
      </c>
    </row>
    <row r="1906" spans="2:12" ht="12.75">
      <c r="B1906" t="str">
        <f>"2397"</f>
        <v>2397</v>
      </c>
      <c r="C1906" t="s">
        <v>508</v>
      </c>
      <c r="D1906">
        <v>402513</v>
      </c>
      <c r="E1906" t="s">
        <v>85</v>
      </c>
      <c r="F1906">
        <v>310005</v>
      </c>
      <c r="G1906" t="s">
        <v>46</v>
      </c>
      <c r="H1906">
        <v>31</v>
      </c>
      <c r="I1906" t="s">
        <v>26</v>
      </c>
      <c r="J1906">
        <v>1</v>
      </c>
      <c r="K1906" s="4">
        <v>476000</v>
      </c>
      <c r="L1906" s="4">
        <v>476000</v>
      </c>
    </row>
    <row r="1907" spans="2:12" ht="12.75">
      <c r="B1907" t="str">
        <f>"2397"</f>
        <v>2397</v>
      </c>
      <c r="C1907" t="s">
        <v>508</v>
      </c>
      <c r="D1907">
        <v>420704</v>
      </c>
      <c r="E1907" t="s">
        <v>24</v>
      </c>
      <c r="F1907">
        <v>310008</v>
      </c>
      <c r="G1907" t="s">
        <v>148</v>
      </c>
      <c r="H1907">
        <v>31</v>
      </c>
      <c r="I1907" t="s">
        <v>26</v>
      </c>
      <c r="J1907">
        <v>1</v>
      </c>
      <c r="K1907" s="4">
        <v>714000</v>
      </c>
      <c r="L1907" s="4">
        <v>714000</v>
      </c>
    </row>
    <row r="1908" spans="2:12" ht="12.75">
      <c r="B1908" t="str">
        <f aca="true" t="shared" si="87" ref="B1908:B1936">"2398"</f>
        <v>2398</v>
      </c>
      <c r="C1908" t="s">
        <v>509</v>
      </c>
      <c r="D1908">
        <v>402510</v>
      </c>
      <c r="E1908" t="s">
        <v>12</v>
      </c>
      <c r="F1908">
        <v>350003</v>
      </c>
      <c r="G1908" t="s">
        <v>44</v>
      </c>
      <c r="H1908">
        <v>35</v>
      </c>
      <c r="I1908" t="s">
        <v>17</v>
      </c>
      <c r="J1908">
        <v>1</v>
      </c>
      <c r="K1908" s="4">
        <v>15000</v>
      </c>
      <c r="L1908" s="4">
        <v>15000</v>
      </c>
    </row>
    <row r="1909" spans="2:12" ht="12.75">
      <c r="B1909" t="str">
        <f t="shared" si="87"/>
        <v>2398</v>
      </c>
      <c r="C1909" t="s">
        <v>509</v>
      </c>
      <c r="D1909">
        <v>402514</v>
      </c>
      <c r="E1909" t="s">
        <v>45</v>
      </c>
      <c r="F1909">
        <v>310006</v>
      </c>
      <c r="G1909" t="s">
        <v>204</v>
      </c>
      <c r="H1909">
        <v>31</v>
      </c>
      <c r="I1909" t="s">
        <v>26</v>
      </c>
      <c r="J1909">
        <v>1</v>
      </c>
      <c r="K1909" s="4">
        <v>40000</v>
      </c>
      <c r="L1909" s="4">
        <v>40000</v>
      </c>
    </row>
    <row r="1910" spans="2:12" ht="12.75">
      <c r="B1910" t="str">
        <f t="shared" si="87"/>
        <v>2398</v>
      </c>
      <c r="C1910" t="s">
        <v>509</v>
      </c>
      <c r="D1910">
        <v>402514</v>
      </c>
      <c r="E1910" t="s">
        <v>45</v>
      </c>
      <c r="F1910">
        <v>310007</v>
      </c>
      <c r="G1910" t="s">
        <v>82</v>
      </c>
      <c r="H1910">
        <v>31</v>
      </c>
      <c r="I1910" t="s">
        <v>26</v>
      </c>
      <c r="J1910">
        <v>1</v>
      </c>
      <c r="K1910" s="4">
        <v>40000</v>
      </c>
      <c r="L1910" s="4">
        <v>40000</v>
      </c>
    </row>
    <row r="1911" spans="2:12" ht="12.75">
      <c r="B1911" t="str">
        <f t="shared" si="87"/>
        <v>2398</v>
      </c>
      <c r="C1911" t="s">
        <v>509</v>
      </c>
      <c r="D1911">
        <v>402515</v>
      </c>
      <c r="E1911" t="s">
        <v>15</v>
      </c>
      <c r="F1911">
        <v>350001</v>
      </c>
      <c r="G1911" t="s">
        <v>16</v>
      </c>
      <c r="H1911">
        <v>35</v>
      </c>
      <c r="I1911" t="s">
        <v>17</v>
      </c>
      <c r="J1911">
        <v>1</v>
      </c>
      <c r="K1911" s="4">
        <v>15000</v>
      </c>
      <c r="L1911" s="4">
        <v>15000</v>
      </c>
    </row>
    <row r="1912" spans="2:12" ht="12.75">
      <c r="B1912" t="str">
        <f t="shared" si="87"/>
        <v>2398</v>
      </c>
      <c r="C1912" t="s">
        <v>509</v>
      </c>
      <c r="D1912">
        <v>402515</v>
      </c>
      <c r="E1912" t="s">
        <v>15</v>
      </c>
      <c r="F1912">
        <v>350002</v>
      </c>
      <c r="G1912" t="s">
        <v>88</v>
      </c>
      <c r="H1912">
        <v>35</v>
      </c>
      <c r="I1912" t="s">
        <v>17</v>
      </c>
      <c r="J1912">
        <v>1</v>
      </c>
      <c r="K1912" s="4">
        <v>15000</v>
      </c>
      <c r="L1912" s="4">
        <v>15000</v>
      </c>
    </row>
    <row r="1913" spans="2:12" ht="12.75">
      <c r="B1913" t="str">
        <f t="shared" si="87"/>
        <v>2398</v>
      </c>
      <c r="C1913" t="s">
        <v>509</v>
      </c>
      <c r="D1913">
        <v>420202</v>
      </c>
      <c r="E1913" t="s">
        <v>19</v>
      </c>
      <c r="F1913">
        <v>10003</v>
      </c>
      <c r="G1913" t="s">
        <v>28</v>
      </c>
      <c r="H1913">
        <v>1</v>
      </c>
      <c r="I1913" t="s">
        <v>21</v>
      </c>
      <c r="J1913">
        <v>80</v>
      </c>
      <c r="K1913" s="4">
        <v>1200</v>
      </c>
      <c r="L1913" s="4">
        <v>96000</v>
      </c>
    </row>
    <row r="1914" spans="2:12" ht="12.75">
      <c r="B1914" t="str">
        <f t="shared" si="87"/>
        <v>2398</v>
      </c>
      <c r="C1914" t="s">
        <v>509</v>
      </c>
      <c r="D1914">
        <v>420202</v>
      </c>
      <c r="E1914" t="s">
        <v>19</v>
      </c>
      <c r="F1914">
        <v>20002</v>
      </c>
      <c r="G1914" t="s">
        <v>58</v>
      </c>
      <c r="H1914">
        <v>2</v>
      </c>
      <c r="I1914" t="s">
        <v>30</v>
      </c>
      <c r="J1914">
        <v>30</v>
      </c>
      <c r="K1914" s="4">
        <v>2000</v>
      </c>
      <c r="L1914" s="4">
        <v>60000</v>
      </c>
    </row>
    <row r="1915" spans="2:12" ht="12.75">
      <c r="B1915" t="str">
        <f t="shared" si="87"/>
        <v>2398</v>
      </c>
      <c r="C1915" t="s">
        <v>509</v>
      </c>
      <c r="D1915">
        <v>420202</v>
      </c>
      <c r="E1915" t="s">
        <v>19</v>
      </c>
      <c r="F1915">
        <v>40002</v>
      </c>
      <c r="G1915" t="s">
        <v>22</v>
      </c>
      <c r="H1915">
        <v>4</v>
      </c>
      <c r="I1915" t="s">
        <v>23</v>
      </c>
      <c r="J1915">
        <v>40</v>
      </c>
      <c r="K1915" s="4">
        <v>350</v>
      </c>
      <c r="L1915" s="4">
        <v>14000</v>
      </c>
    </row>
    <row r="1916" spans="2:12" ht="12.75">
      <c r="B1916" t="str">
        <f t="shared" si="87"/>
        <v>2398</v>
      </c>
      <c r="C1916" t="s">
        <v>509</v>
      </c>
      <c r="D1916">
        <v>420202</v>
      </c>
      <c r="E1916" t="s">
        <v>19</v>
      </c>
      <c r="F1916">
        <v>40003</v>
      </c>
      <c r="G1916" t="s">
        <v>72</v>
      </c>
      <c r="H1916">
        <v>4</v>
      </c>
      <c r="I1916" t="s">
        <v>23</v>
      </c>
      <c r="J1916">
        <v>20</v>
      </c>
      <c r="K1916" s="4">
        <v>350</v>
      </c>
      <c r="L1916" s="4">
        <v>7000</v>
      </c>
    </row>
    <row r="1917" spans="2:12" ht="12.75">
      <c r="B1917" t="str">
        <f t="shared" si="87"/>
        <v>2398</v>
      </c>
      <c r="C1917" t="s">
        <v>509</v>
      </c>
      <c r="D1917">
        <v>420202</v>
      </c>
      <c r="E1917" t="s">
        <v>19</v>
      </c>
      <c r="F1917">
        <v>50001</v>
      </c>
      <c r="G1917" t="s">
        <v>405</v>
      </c>
      <c r="H1917">
        <v>5</v>
      </c>
      <c r="I1917" t="s">
        <v>89</v>
      </c>
      <c r="J1917">
        <v>2</v>
      </c>
      <c r="K1917" s="4">
        <v>1000</v>
      </c>
      <c r="L1917" s="4">
        <v>2000</v>
      </c>
    </row>
    <row r="1918" spans="2:12" ht="12.75">
      <c r="B1918" t="str">
        <f t="shared" si="87"/>
        <v>2398</v>
      </c>
      <c r="C1918" t="s">
        <v>509</v>
      </c>
      <c r="D1918">
        <v>420202</v>
      </c>
      <c r="E1918" t="s">
        <v>19</v>
      </c>
      <c r="F1918">
        <v>50002</v>
      </c>
      <c r="G1918" t="s">
        <v>93</v>
      </c>
      <c r="H1918">
        <v>5</v>
      </c>
      <c r="I1918" t="s">
        <v>89</v>
      </c>
      <c r="J1918">
        <v>5</v>
      </c>
      <c r="K1918" s="4">
        <v>1300</v>
      </c>
      <c r="L1918" s="4">
        <v>6500</v>
      </c>
    </row>
    <row r="1919" spans="2:12" ht="12.75">
      <c r="B1919" t="str">
        <f t="shared" si="87"/>
        <v>2398</v>
      </c>
      <c r="C1919" t="s">
        <v>509</v>
      </c>
      <c r="D1919">
        <v>420202</v>
      </c>
      <c r="E1919" t="s">
        <v>19</v>
      </c>
      <c r="F1919">
        <v>50003</v>
      </c>
      <c r="G1919" t="s">
        <v>347</v>
      </c>
      <c r="H1919">
        <v>5</v>
      </c>
      <c r="I1919" t="s">
        <v>89</v>
      </c>
      <c r="J1919">
        <v>2</v>
      </c>
      <c r="K1919" s="4">
        <v>1800</v>
      </c>
      <c r="L1919" s="4">
        <v>3600</v>
      </c>
    </row>
    <row r="1920" spans="2:12" ht="12.75">
      <c r="B1920" t="str">
        <f t="shared" si="87"/>
        <v>2398</v>
      </c>
      <c r="C1920" t="s">
        <v>509</v>
      </c>
      <c r="D1920">
        <v>420202</v>
      </c>
      <c r="E1920" t="s">
        <v>19</v>
      </c>
      <c r="F1920">
        <v>60002</v>
      </c>
      <c r="G1920" t="s">
        <v>31</v>
      </c>
      <c r="H1920">
        <v>6</v>
      </c>
      <c r="I1920" t="s">
        <v>32</v>
      </c>
      <c r="J1920">
        <v>20</v>
      </c>
      <c r="K1920" s="4">
        <v>1100</v>
      </c>
      <c r="L1920" s="4">
        <v>22000</v>
      </c>
    </row>
    <row r="1921" spans="2:12" ht="12.75">
      <c r="B1921" t="str">
        <f t="shared" si="87"/>
        <v>2398</v>
      </c>
      <c r="C1921" t="s">
        <v>509</v>
      </c>
      <c r="D1921">
        <v>420202</v>
      </c>
      <c r="E1921" t="s">
        <v>19</v>
      </c>
      <c r="F1921">
        <v>60004</v>
      </c>
      <c r="G1921" t="s">
        <v>33</v>
      </c>
      <c r="H1921">
        <v>6</v>
      </c>
      <c r="I1921" t="s">
        <v>32</v>
      </c>
      <c r="J1921">
        <v>5</v>
      </c>
      <c r="K1921" s="4">
        <v>800</v>
      </c>
      <c r="L1921" s="4">
        <v>4000</v>
      </c>
    </row>
    <row r="1922" spans="2:12" ht="12.75">
      <c r="B1922" t="str">
        <f t="shared" si="87"/>
        <v>2398</v>
      </c>
      <c r="C1922" t="s">
        <v>509</v>
      </c>
      <c r="D1922">
        <v>420202</v>
      </c>
      <c r="E1922" t="s">
        <v>19</v>
      </c>
      <c r="F1922">
        <v>70003</v>
      </c>
      <c r="G1922" t="s">
        <v>73</v>
      </c>
      <c r="H1922">
        <v>7</v>
      </c>
      <c r="I1922" t="s">
        <v>74</v>
      </c>
      <c r="J1922">
        <v>2</v>
      </c>
      <c r="K1922" s="4">
        <v>1000</v>
      </c>
      <c r="L1922" s="4">
        <v>2000</v>
      </c>
    </row>
    <row r="1923" spans="2:12" ht="12.75">
      <c r="B1923" t="str">
        <f t="shared" si="87"/>
        <v>2398</v>
      </c>
      <c r="C1923" t="s">
        <v>509</v>
      </c>
      <c r="D1923">
        <v>420202</v>
      </c>
      <c r="E1923" t="s">
        <v>19</v>
      </c>
      <c r="F1923">
        <v>80001</v>
      </c>
      <c r="G1923" t="s">
        <v>437</v>
      </c>
      <c r="H1923">
        <v>8</v>
      </c>
      <c r="I1923" t="s">
        <v>76</v>
      </c>
      <c r="J1923">
        <v>20</v>
      </c>
      <c r="K1923" s="4">
        <v>60</v>
      </c>
      <c r="L1923" s="4">
        <v>1200</v>
      </c>
    </row>
    <row r="1924" spans="2:12" ht="12.75">
      <c r="B1924" t="str">
        <f t="shared" si="87"/>
        <v>2398</v>
      </c>
      <c r="C1924" t="s">
        <v>509</v>
      </c>
      <c r="D1924">
        <v>420202</v>
      </c>
      <c r="E1924" t="s">
        <v>19</v>
      </c>
      <c r="F1924">
        <v>120001</v>
      </c>
      <c r="G1924" t="s">
        <v>114</v>
      </c>
      <c r="H1924">
        <v>12</v>
      </c>
      <c r="I1924" t="s">
        <v>38</v>
      </c>
      <c r="J1924">
        <v>2</v>
      </c>
      <c r="K1924" s="4">
        <v>500</v>
      </c>
      <c r="L1924" s="4">
        <v>1000</v>
      </c>
    </row>
    <row r="1925" spans="2:12" ht="12.75">
      <c r="B1925" t="str">
        <f t="shared" si="87"/>
        <v>2398</v>
      </c>
      <c r="C1925" t="s">
        <v>509</v>
      </c>
      <c r="D1925">
        <v>420202</v>
      </c>
      <c r="E1925" t="s">
        <v>19</v>
      </c>
      <c r="F1925">
        <v>190006</v>
      </c>
      <c r="G1925" t="s">
        <v>206</v>
      </c>
      <c r="H1925">
        <v>19</v>
      </c>
      <c r="I1925" t="s">
        <v>62</v>
      </c>
      <c r="J1925">
        <v>4</v>
      </c>
      <c r="K1925" s="4">
        <v>2500</v>
      </c>
      <c r="L1925" s="4">
        <v>10000</v>
      </c>
    </row>
    <row r="1926" spans="2:12" ht="12.75">
      <c r="B1926" t="str">
        <f t="shared" si="87"/>
        <v>2398</v>
      </c>
      <c r="C1926" t="s">
        <v>509</v>
      </c>
      <c r="D1926">
        <v>420202</v>
      </c>
      <c r="E1926" t="s">
        <v>19</v>
      </c>
      <c r="F1926">
        <v>190008</v>
      </c>
      <c r="G1926" t="s">
        <v>87</v>
      </c>
      <c r="H1926">
        <v>19</v>
      </c>
      <c r="I1926" t="s">
        <v>62</v>
      </c>
      <c r="J1926">
        <v>4</v>
      </c>
      <c r="K1926" s="4">
        <v>10000</v>
      </c>
      <c r="L1926" s="4">
        <v>40000</v>
      </c>
    </row>
    <row r="1927" spans="2:12" ht="12.75">
      <c r="B1927" t="str">
        <f t="shared" si="87"/>
        <v>2398</v>
      </c>
      <c r="C1927" t="s">
        <v>509</v>
      </c>
      <c r="D1927">
        <v>420202</v>
      </c>
      <c r="E1927" t="s">
        <v>19</v>
      </c>
      <c r="F1927">
        <v>190009</v>
      </c>
      <c r="G1927" t="s">
        <v>144</v>
      </c>
      <c r="H1927">
        <v>19</v>
      </c>
      <c r="I1927" t="s">
        <v>62</v>
      </c>
      <c r="J1927">
        <v>10</v>
      </c>
      <c r="K1927" s="4">
        <v>3000</v>
      </c>
      <c r="L1927" s="4">
        <v>30000</v>
      </c>
    </row>
    <row r="1928" spans="2:12" ht="12.75">
      <c r="B1928" t="str">
        <f t="shared" si="87"/>
        <v>2398</v>
      </c>
      <c r="C1928" t="s">
        <v>509</v>
      </c>
      <c r="D1928">
        <v>420202</v>
      </c>
      <c r="E1928" t="s">
        <v>19</v>
      </c>
      <c r="F1928">
        <v>220004</v>
      </c>
      <c r="G1928" t="s">
        <v>510</v>
      </c>
      <c r="H1928">
        <v>22</v>
      </c>
      <c r="I1928" t="s">
        <v>455</v>
      </c>
      <c r="J1928">
        <v>1</v>
      </c>
      <c r="K1928" s="4">
        <v>20000</v>
      </c>
      <c r="L1928" s="4">
        <v>20000</v>
      </c>
    </row>
    <row r="1929" spans="2:12" ht="12.75">
      <c r="B1929" t="str">
        <f t="shared" si="87"/>
        <v>2398</v>
      </c>
      <c r="C1929" t="s">
        <v>509</v>
      </c>
      <c r="D1929">
        <v>420202</v>
      </c>
      <c r="E1929" t="s">
        <v>19</v>
      </c>
      <c r="F1929">
        <v>230001</v>
      </c>
      <c r="G1929" t="s">
        <v>236</v>
      </c>
      <c r="H1929">
        <v>23</v>
      </c>
      <c r="I1929" t="s">
        <v>143</v>
      </c>
      <c r="J1929">
        <v>5</v>
      </c>
      <c r="K1929" s="4">
        <v>4000</v>
      </c>
      <c r="L1929" s="4">
        <v>20000</v>
      </c>
    </row>
    <row r="1930" spans="2:12" ht="12.75">
      <c r="B1930" t="str">
        <f t="shared" si="87"/>
        <v>2398</v>
      </c>
      <c r="C1930" t="s">
        <v>509</v>
      </c>
      <c r="D1930">
        <v>420202</v>
      </c>
      <c r="E1930" t="s">
        <v>19</v>
      </c>
      <c r="F1930">
        <v>230002</v>
      </c>
      <c r="G1930" t="s">
        <v>214</v>
      </c>
      <c r="H1930">
        <v>23</v>
      </c>
      <c r="I1930" t="s">
        <v>143</v>
      </c>
      <c r="J1930">
        <v>2</v>
      </c>
      <c r="K1930" s="4">
        <v>4000</v>
      </c>
      <c r="L1930" s="4">
        <v>8000</v>
      </c>
    </row>
    <row r="1931" spans="2:12" ht="12.75">
      <c r="B1931" t="str">
        <f t="shared" si="87"/>
        <v>2398</v>
      </c>
      <c r="C1931" t="s">
        <v>509</v>
      </c>
      <c r="D1931">
        <v>420202</v>
      </c>
      <c r="E1931" t="s">
        <v>19</v>
      </c>
      <c r="F1931">
        <v>240003</v>
      </c>
      <c r="G1931" t="s">
        <v>117</v>
      </c>
      <c r="H1931">
        <v>24</v>
      </c>
      <c r="I1931" t="s">
        <v>118</v>
      </c>
      <c r="J1931">
        <v>1</v>
      </c>
      <c r="K1931" s="4">
        <v>5000</v>
      </c>
      <c r="L1931" s="4">
        <v>5000</v>
      </c>
    </row>
    <row r="1932" spans="2:12" ht="12.75">
      <c r="B1932" t="str">
        <f t="shared" si="87"/>
        <v>2398</v>
      </c>
      <c r="C1932" t="s">
        <v>509</v>
      </c>
      <c r="D1932">
        <v>420704</v>
      </c>
      <c r="E1932" t="s">
        <v>24</v>
      </c>
      <c r="F1932">
        <v>260001</v>
      </c>
      <c r="G1932" t="s">
        <v>147</v>
      </c>
      <c r="H1932">
        <v>26</v>
      </c>
      <c r="I1932" t="s">
        <v>69</v>
      </c>
      <c r="J1932">
        <v>1</v>
      </c>
      <c r="K1932" s="4">
        <v>40000</v>
      </c>
      <c r="L1932" s="4">
        <v>40000</v>
      </c>
    </row>
    <row r="1933" spans="2:12" ht="12.75">
      <c r="B1933" t="str">
        <f t="shared" si="87"/>
        <v>2398</v>
      </c>
      <c r="C1933" t="s">
        <v>509</v>
      </c>
      <c r="D1933">
        <v>420704</v>
      </c>
      <c r="E1933" t="s">
        <v>24</v>
      </c>
      <c r="F1933">
        <v>260002</v>
      </c>
      <c r="G1933" t="s">
        <v>507</v>
      </c>
      <c r="H1933">
        <v>26</v>
      </c>
      <c r="I1933" t="s">
        <v>69</v>
      </c>
      <c r="J1933">
        <v>1</v>
      </c>
      <c r="K1933" s="4">
        <v>40000</v>
      </c>
      <c r="L1933" s="4">
        <v>40000</v>
      </c>
    </row>
    <row r="1934" spans="2:12" ht="12.75">
      <c r="B1934" t="str">
        <f t="shared" si="87"/>
        <v>2398</v>
      </c>
      <c r="C1934" t="s">
        <v>509</v>
      </c>
      <c r="D1934">
        <v>420806</v>
      </c>
      <c r="E1934" t="s">
        <v>122</v>
      </c>
      <c r="F1934">
        <v>330001</v>
      </c>
      <c r="G1934" t="s">
        <v>221</v>
      </c>
      <c r="H1934">
        <v>33</v>
      </c>
      <c r="I1934" t="s">
        <v>222</v>
      </c>
      <c r="J1934">
        <v>1</v>
      </c>
      <c r="K1934" s="4">
        <v>40000</v>
      </c>
      <c r="L1934" s="4">
        <v>40000</v>
      </c>
    </row>
    <row r="1935" spans="2:12" ht="12.75">
      <c r="B1935" t="str">
        <f t="shared" si="87"/>
        <v>2398</v>
      </c>
      <c r="C1935" t="s">
        <v>509</v>
      </c>
      <c r="D1935">
        <v>420806</v>
      </c>
      <c r="E1935" t="s">
        <v>122</v>
      </c>
      <c r="F1935">
        <v>330002</v>
      </c>
      <c r="G1935" t="s">
        <v>511</v>
      </c>
      <c r="H1935">
        <v>33</v>
      </c>
      <c r="I1935" t="s">
        <v>222</v>
      </c>
      <c r="J1935">
        <v>1</v>
      </c>
      <c r="K1935" s="4">
        <v>20000</v>
      </c>
      <c r="L1935" s="4">
        <v>20000</v>
      </c>
    </row>
    <row r="1936" spans="2:12" ht="12.75">
      <c r="B1936" t="str">
        <f t="shared" si="87"/>
        <v>2398</v>
      </c>
      <c r="C1936" t="s">
        <v>509</v>
      </c>
      <c r="D1936">
        <v>420806</v>
      </c>
      <c r="E1936" t="s">
        <v>122</v>
      </c>
      <c r="F1936">
        <v>360006</v>
      </c>
      <c r="G1936" t="s">
        <v>151</v>
      </c>
      <c r="H1936">
        <v>36</v>
      </c>
      <c r="I1936" t="s">
        <v>124</v>
      </c>
      <c r="J1936">
        <v>1</v>
      </c>
      <c r="K1936" s="4">
        <v>8700</v>
      </c>
      <c r="L1936" s="4">
        <v>8700</v>
      </c>
    </row>
    <row r="1937" spans="1:2" ht="12.75">
      <c r="A1937" t="s">
        <v>47</v>
      </c>
      <c r="B1937">
        <f>SUM(L1906:L1936)</f>
        <v>1816000</v>
      </c>
    </row>
    <row r="1939" ht="12.75">
      <c r="A1939" t="str">
        <f>"3313 - Urad RS za mladino, verzija: 1"</f>
        <v>3313 - Urad RS za mladino, verzija: 1</v>
      </c>
    </row>
    <row r="1940" spans="2:13" ht="12.75">
      <c r="B1940" t="s">
        <v>3</v>
      </c>
      <c r="D1940" t="s">
        <v>4</v>
      </c>
      <c r="F1940" t="s">
        <v>5</v>
      </c>
      <c r="H1940" t="s">
        <v>6</v>
      </c>
      <c r="J1940" t="s">
        <v>7</v>
      </c>
      <c r="K1940" s="4" t="s">
        <v>8</v>
      </c>
      <c r="L1940" s="4" t="s">
        <v>9</v>
      </c>
      <c r="M1940" t="s">
        <v>10</v>
      </c>
    </row>
    <row r="1941" spans="2:12" ht="12.75">
      <c r="B1941" t="str">
        <f aca="true" t="shared" si="88" ref="B1941:B1946">"2243"</f>
        <v>2243</v>
      </c>
      <c r="C1941" t="s">
        <v>27</v>
      </c>
      <c r="D1941">
        <v>402510</v>
      </c>
      <c r="E1941" t="s">
        <v>12</v>
      </c>
      <c r="F1941">
        <v>10002</v>
      </c>
      <c r="G1941" t="s">
        <v>20</v>
      </c>
      <c r="H1941">
        <v>1</v>
      </c>
      <c r="I1941" t="s">
        <v>21</v>
      </c>
      <c r="J1941">
        <v>12</v>
      </c>
      <c r="K1941" s="4">
        <v>100</v>
      </c>
      <c r="L1941" s="4">
        <v>1200</v>
      </c>
    </row>
    <row r="1942" spans="2:12" ht="12.75">
      <c r="B1942" t="str">
        <f t="shared" si="88"/>
        <v>2243</v>
      </c>
      <c r="C1942" t="s">
        <v>27</v>
      </c>
      <c r="D1942">
        <v>402510</v>
      </c>
      <c r="E1942" t="s">
        <v>12</v>
      </c>
      <c r="F1942">
        <v>60002</v>
      </c>
      <c r="G1942" t="s">
        <v>31</v>
      </c>
      <c r="H1942">
        <v>6</v>
      </c>
      <c r="I1942" t="s">
        <v>32</v>
      </c>
      <c r="J1942">
        <v>5</v>
      </c>
      <c r="K1942" s="4">
        <v>80</v>
      </c>
      <c r="L1942" s="4">
        <v>400</v>
      </c>
    </row>
    <row r="1943" spans="2:12" ht="12.75">
      <c r="B1943" t="str">
        <f t="shared" si="88"/>
        <v>2243</v>
      </c>
      <c r="C1943" t="s">
        <v>27</v>
      </c>
      <c r="D1943">
        <v>402510</v>
      </c>
      <c r="E1943" t="s">
        <v>12</v>
      </c>
      <c r="F1943">
        <v>60004</v>
      </c>
      <c r="G1943" t="s">
        <v>33</v>
      </c>
      <c r="H1943">
        <v>6</v>
      </c>
      <c r="I1943" t="s">
        <v>32</v>
      </c>
      <c r="J1943">
        <v>1</v>
      </c>
      <c r="K1943" s="4">
        <v>550</v>
      </c>
      <c r="L1943" s="4">
        <v>550</v>
      </c>
    </row>
    <row r="1944" spans="2:12" ht="12.75">
      <c r="B1944" t="str">
        <f t="shared" si="88"/>
        <v>2243</v>
      </c>
      <c r="C1944" t="s">
        <v>27</v>
      </c>
      <c r="D1944">
        <v>402510</v>
      </c>
      <c r="E1944" t="s">
        <v>12</v>
      </c>
      <c r="F1944">
        <v>190004</v>
      </c>
      <c r="G1944" t="s">
        <v>61</v>
      </c>
      <c r="H1944">
        <v>19</v>
      </c>
      <c r="I1944" t="s">
        <v>62</v>
      </c>
      <c r="J1944">
        <v>1</v>
      </c>
      <c r="K1944" s="4">
        <v>2600</v>
      </c>
      <c r="L1944" s="4">
        <v>2600</v>
      </c>
    </row>
    <row r="1945" spans="2:12" ht="12.75">
      <c r="B1945" t="str">
        <f t="shared" si="88"/>
        <v>2243</v>
      </c>
      <c r="C1945" t="s">
        <v>27</v>
      </c>
      <c r="D1945">
        <v>402510</v>
      </c>
      <c r="E1945" t="s">
        <v>12</v>
      </c>
      <c r="F1945">
        <v>400007</v>
      </c>
      <c r="G1945" t="s">
        <v>74</v>
      </c>
      <c r="H1945">
        <v>40</v>
      </c>
      <c r="I1945" t="s">
        <v>50</v>
      </c>
      <c r="J1945">
        <v>1</v>
      </c>
      <c r="K1945" s="4">
        <v>350</v>
      </c>
      <c r="L1945" s="4">
        <v>350</v>
      </c>
    </row>
    <row r="1946" spans="2:12" ht="12.75">
      <c r="B1946" t="str">
        <f t="shared" si="88"/>
        <v>2243</v>
      </c>
      <c r="C1946" t="s">
        <v>27</v>
      </c>
      <c r="D1946">
        <v>420202</v>
      </c>
      <c r="E1946" t="s">
        <v>19</v>
      </c>
      <c r="F1946">
        <v>10001</v>
      </c>
      <c r="G1946" t="s">
        <v>48</v>
      </c>
      <c r="H1946">
        <v>1</v>
      </c>
      <c r="I1946" t="s">
        <v>21</v>
      </c>
      <c r="J1946">
        <v>4</v>
      </c>
      <c r="K1946" s="4">
        <v>1658.5</v>
      </c>
      <c r="L1946" s="4">
        <v>6634</v>
      </c>
    </row>
    <row r="1947" spans="1:2" ht="12.75">
      <c r="A1947" t="s">
        <v>47</v>
      </c>
      <c r="B1947">
        <f>SUM(L1941:L1946)</f>
        <v>11734</v>
      </c>
    </row>
    <row r="1949" ht="12.75">
      <c r="A1949" t="str">
        <f>"3511 - Ministrstvo za kulturo, verzija: 1"</f>
        <v>3511 - Ministrstvo za kulturo, verzija: 1</v>
      </c>
    </row>
    <row r="1950" spans="2:13" ht="12.75">
      <c r="B1950" t="s">
        <v>3</v>
      </c>
      <c r="D1950" t="s">
        <v>4</v>
      </c>
      <c r="F1950" t="s">
        <v>5</v>
      </c>
      <c r="H1950" t="s">
        <v>6</v>
      </c>
      <c r="J1950" t="s">
        <v>7</v>
      </c>
      <c r="K1950" s="4" t="s">
        <v>8</v>
      </c>
      <c r="L1950" s="4" t="s">
        <v>9</v>
      </c>
      <c r="M1950" t="s">
        <v>10</v>
      </c>
    </row>
    <row r="1951" spans="2:12" ht="12.75">
      <c r="B1951" t="str">
        <f aca="true" t="shared" si="89" ref="B1951:B1973">"2929"</f>
        <v>2929</v>
      </c>
      <c r="C1951" t="s">
        <v>27</v>
      </c>
      <c r="D1951">
        <v>420202</v>
      </c>
      <c r="E1951" t="s">
        <v>19</v>
      </c>
      <c r="F1951">
        <v>10002</v>
      </c>
      <c r="G1951" t="s">
        <v>20</v>
      </c>
      <c r="H1951">
        <v>1</v>
      </c>
      <c r="I1951" t="s">
        <v>21</v>
      </c>
      <c r="J1951">
        <v>33</v>
      </c>
      <c r="K1951" s="4">
        <v>630</v>
      </c>
      <c r="L1951" s="4">
        <v>20790</v>
      </c>
    </row>
    <row r="1952" spans="2:12" ht="12.75">
      <c r="B1952" t="str">
        <f t="shared" si="89"/>
        <v>2929</v>
      </c>
      <c r="C1952" t="s">
        <v>27</v>
      </c>
      <c r="D1952">
        <v>420202</v>
      </c>
      <c r="E1952" t="s">
        <v>19</v>
      </c>
      <c r="F1952">
        <v>10003</v>
      </c>
      <c r="G1952" t="s">
        <v>28</v>
      </c>
      <c r="H1952">
        <v>1</v>
      </c>
      <c r="I1952" t="s">
        <v>21</v>
      </c>
      <c r="J1952">
        <v>7</v>
      </c>
      <c r="K1952" s="4">
        <v>1050</v>
      </c>
      <c r="L1952" s="4">
        <v>7350</v>
      </c>
    </row>
    <row r="1953" spans="2:12" ht="12.75">
      <c r="B1953" t="str">
        <f t="shared" si="89"/>
        <v>2929</v>
      </c>
      <c r="C1953" t="s">
        <v>27</v>
      </c>
      <c r="D1953">
        <v>420202</v>
      </c>
      <c r="E1953" t="s">
        <v>19</v>
      </c>
      <c r="F1953">
        <v>20002</v>
      </c>
      <c r="G1953" t="s">
        <v>58</v>
      </c>
      <c r="H1953">
        <v>2</v>
      </c>
      <c r="I1953" t="s">
        <v>30</v>
      </c>
      <c r="J1953">
        <v>3</v>
      </c>
      <c r="K1953" s="4">
        <v>1600</v>
      </c>
      <c r="L1953" s="4">
        <v>4800</v>
      </c>
    </row>
    <row r="1954" spans="2:12" ht="12.75">
      <c r="B1954" t="str">
        <f t="shared" si="89"/>
        <v>2929</v>
      </c>
      <c r="C1954" t="s">
        <v>27</v>
      </c>
      <c r="D1954">
        <v>420202</v>
      </c>
      <c r="E1954" t="s">
        <v>19</v>
      </c>
      <c r="F1954">
        <v>20003</v>
      </c>
      <c r="G1954" t="s">
        <v>25</v>
      </c>
      <c r="H1954">
        <v>2</v>
      </c>
      <c r="I1954" t="s">
        <v>30</v>
      </c>
      <c r="J1954">
        <v>2</v>
      </c>
      <c r="K1954" s="4">
        <v>2000</v>
      </c>
      <c r="L1954" s="4">
        <v>4000</v>
      </c>
    </row>
    <row r="1955" spans="2:12" ht="12.75">
      <c r="B1955" t="str">
        <f t="shared" si="89"/>
        <v>2929</v>
      </c>
      <c r="C1955" t="s">
        <v>27</v>
      </c>
      <c r="D1955">
        <v>420202</v>
      </c>
      <c r="E1955" t="s">
        <v>19</v>
      </c>
      <c r="F1955">
        <v>40001</v>
      </c>
      <c r="G1955" t="s">
        <v>59</v>
      </c>
      <c r="H1955">
        <v>4</v>
      </c>
      <c r="I1955" t="s">
        <v>23</v>
      </c>
      <c r="J1955">
        <v>30</v>
      </c>
      <c r="K1955" s="4">
        <v>210</v>
      </c>
      <c r="L1955" s="4">
        <v>6300</v>
      </c>
    </row>
    <row r="1956" spans="2:12" ht="12.75">
      <c r="B1956" t="str">
        <f t="shared" si="89"/>
        <v>2929</v>
      </c>
      <c r="C1956" t="s">
        <v>27</v>
      </c>
      <c r="D1956">
        <v>420202</v>
      </c>
      <c r="E1956" t="s">
        <v>19</v>
      </c>
      <c r="F1956">
        <v>40002</v>
      </c>
      <c r="G1956" t="s">
        <v>22</v>
      </c>
      <c r="H1956">
        <v>4</v>
      </c>
      <c r="I1956" t="s">
        <v>23</v>
      </c>
      <c r="J1956">
        <v>10</v>
      </c>
      <c r="K1956" s="4">
        <v>250</v>
      </c>
      <c r="L1956" s="4">
        <v>2500</v>
      </c>
    </row>
    <row r="1957" spans="2:12" ht="12.75">
      <c r="B1957" t="str">
        <f t="shared" si="89"/>
        <v>2929</v>
      </c>
      <c r="C1957" t="s">
        <v>27</v>
      </c>
      <c r="D1957">
        <v>420202</v>
      </c>
      <c r="E1957" t="s">
        <v>19</v>
      </c>
      <c r="F1957">
        <v>40004</v>
      </c>
      <c r="G1957" t="s">
        <v>164</v>
      </c>
      <c r="H1957">
        <v>4</v>
      </c>
      <c r="I1957" t="s">
        <v>23</v>
      </c>
      <c r="J1957">
        <v>5</v>
      </c>
      <c r="K1957" s="4">
        <v>400</v>
      </c>
      <c r="L1957" s="4">
        <v>2000</v>
      </c>
    </row>
    <row r="1958" spans="2:12" ht="12.75">
      <c r="B1958" t="str">
        <f t="shared" si="89"/>
        <v>2929</v>
      </c>
      <c r="C1958" t="s">
        <v>27</v>
      </c>
      <c r="D1958">
        <v>420202</v>
      </c>
      <c r="E1958" t="s">
        <v>19</v>
      </c>
      <c r="F1958">
        <v>60002</v>
      </c>
      <c r="G1958" t="s">
        <v>31</v>
      </c>
      <c r="H1958">
        <v>6</v>
      </c>
      <c r="I1958" t="s">
        <v>32</v>
      </c>
      <c r="J1958">
        <v>2</v>
      </c>
      <c r="K1958" s="4">
        <v>2800</v>
      </c>
      <c r="L1958" s="4">
        <v>5600</v>
      </c>
    </row>
    <row r="1959" spans="2:12" ht="12.75">
      <c r="B1959" t="str">
        <f t="shared" si="89"/>
        <v>2929</v>
      </c>
      <c r="C1959" t="s">
        <v>27</v>
      </c>
      <c r="D1959">
        <v>420202</v>
      </c>
      <c r="E1959" t="s">
        <v>19</v>
      </c>
      <c r="F1959">
        <v>70002</v>
      </c>
      <c r="G1959" t="s">
        <v>113</v>
      </c>
      <c r="H1959">
        <v>7</v>
      </c>
      <c r="I1959" t="s">
        <v>74</v>
      </c>
      <c r="J1959">
        <v>2</v>
      </c>
      <c r="K1959" s="4">
        <v>350</v>
      </c>
      <c r="L1959" s="4">
        <v>700</v>
      </c>
    </row>
    <row r="1960" spans="2:12" ht="12.75">
      <c r="B1960" t="str">
        <f t="shared" si="89"/>
        <v>2929</v>
      </c>
      <c r="C1960" t="s">
        <v>27</v>
      </c>
      <c r="D1960">
        <v>420202</v>
      </c>
      <c r="E1960" t="s">
        <v>19</v>
      </c>
      <c r="F1960">
        <v>70003</v>
      </c>
      <c r="G1960" t="s">
        <v>73</v>
      </c>
      <c r="H1960">
        <v>7</v>
      </c>
      <c r="I1960" t="s">
        <v>74</v>
      </c>
      <c r="J1960">
        <v>1</v>
      </c>
      <c r="K1960" s="4">
        <v>1000</v>
      </c>
      <c r="L1960" s="4">
        <v>1000</v>
      </c>
    </row>
    <row r="1961" spans="2:12" ht="12.75">
      <c r="B1961" t="str">
        <f t="shared" si="89"/>
        <v>2929</v>
      </c>
      <c r="C1961" t="s">
        <v>27</v>
      </c>
      <c r="D1961">
        <v>420202</v>
      </c>
      <c r="E1961" t="s">
        <v>19</v>
      </c>
      <c r="F1961">
        <v>100009</v>
      </c>
      <c r="G1961" t="s">
        <v>299</v>
      </c>
      <c r="H1961">
        <v>10</v>
      </c>
      <c r="I1961" t="s">
        <v>35</v>
      </c>
      <c r="J1961">
        <v>1</v>
      </c>
      <c r="K1961" s="4">
        <v>1500</v>
      </c>
      <c r="L1961" s="4">
        <v>1500</v>
      </c>
    </row>
    <row r="1962" spans="2:12" ht="12.75">
      <c r="B1962" t="str">
        <f t="shared" si="89"/>
        <v>2929</v>
      </c>
      <c r="C1962" t="s">
        <v>27</v>
      </c>
      <c r="D1962">
        <v>420222</v>
      </c>
      <c r="E1962" t="s">
        <v>60</v>
      </c>
      <c r="F1962">
        <v>190007</v>
      </c>
      <c r="G1962" t="s">
        <v>512</v>
      </c>
      <c r="H1962">
        <v>19</v>
      </c>
      <c r="I1962" t="s">
        <v>62</v>
      </c>
      <c r="J1962">
        <v>2</v>
      </c>
      <c r="K1962" s="4">
        <v>9800</v>
      </c>
      <c r="L1962" s="4">
        <v>19600</v>
      </c>
    </row>
    <row r="1963" spans="2:12" ht="12.75">
      <c r="B1963" t="str">
        <f t="shared" si="89"/>
        <v>2929</v>
      </c>
      <c r="C1963" t="s">
        <v>27</v>
      </c>
      <c r="D1963">
        <v>420222</v>
      </c>
      <c r="E1963" t="s">
        <v>60</v>
      </c>
      <c r="F1963">
        <v>190008</v>
      </c>
      <c r="G1963" t="s">
        <v>87</v>
      </c>
      <c r="H1963">
        <v>19</v>
      </c>
      <c r="I1963" t="s">
        <v>62</v>
      </c>
      <c r="J1963">
        <v>1</v>
      </c>
      <c r="K1963" s="4">
        <v>11000</v>
      </c>
      <c r="L1963" s="4">
        <v>11000</v>
      </c>
    </row>
    <row r="1964" spans="2:12" ht="12.75">
      <c r="B1964" t="str">
        <f t="shared" si="89"/>
        <v>2929</v>
      </c>
      <c r="C1964" t="s">
        <v>27</v>
      </c>
      <c r="D1964">
        <v>420222</v>
      </c>
      <c r="E1964" t="s">
        <v>60</v>
      </c>
      <c r="F1964">
        <v>240007</v>
      </c>
      <c r="G1964" t="s">
        <v>303</v>
      </c>
      <c r="H1964">
        <v>24</v>
      </c>
      <c r="I1964" t="s">
        <v>118</v>
      </c>
      <c r="J1964">
        <v>1</v>
      </c>
      <c r="K1964" s="4">
        <v>5835</v>
      </c>
      <c r="L1964" s="4">
        <v>5835</v>
      </c>
    </row>
    <row r="1965" spans="2:12" ht="12.75">
      <c r="B1965" t="str">
        <f t="shared" si="89"/>
        <v>2929</v>
      </c>
      <c r="C1965" t="s">
        <v>27</v>
      </c>
      <c r="D1965">
        <v>420238</v>
      </c>
      <c r="E1965" t="s">
        <v>34</v>
      </c>
      <c r="F1965">
        <v>140007</v>
      </c>
      <c r="G1965" t="s">
        <v>25</v>
      </c>
      <c r="H1965">
        <v>14</v>
      </c>
      <c r="I1965" t="s">
        <v>64</v>
      </c>
      <c r="J1965">
        <v>10</v>
      </c>
      <c r="K1965" s="4">
        <v>417.3</v>
      </c>
      <c r="L1965" s="4">
        <v>4173</v>
      </c>
    </row>
    <row r="1966" spans="2:12" ht="12.75">
      <c r="B1966" t="str">
        <f t="shared" si="89"/>
        <v>2929</v>
      </c>
      <c r="C1966" t="s">
        <v>27</v>
      </c>
      <c r="D1966">
        <v>420248</v>
      </c>
      <c r="E1966" t="s">
        <v>36</v>
      </c>
      <c r="F1966">
        <v>120001</v>
      </c>
      <c r="G1966" t="s">
        <v>114</v>
      </c>
      <c r="H1966">
        <v>12</v>
      </c>
      <c r="I1966" t="s">
        <v>38</v>
      </c>
      <c r="J1966">
        <v>4</v>
      </c>
      <c r="K1966" s="4">
        <v>1950</v>
      </c>
      <c r="L1966" s="4">
        <v>7800</v>
      </c>
    </row>
    <row r="1967" spans="2:12" ht="12.75">
      <c r="B1967" t="str">
        <f t="shared" si="89"/>
        <v>2929</v>
      </c>
      <c r="C1967" t="s">
        <v>27</v>
      </c>
      <c r="D1967">
        <v>420248</v>
      </c>
      <c r="E1967" t="s">
        <v>36</v>
      </c>
      <c r="F1967">
        <v>120004</v>
      </c>
      <c r="G1967" t="s">
        <v>513</v>
      </c>
      <c r="H1967">
        <v>12</v>
      </c>
      <c r="I1967" t="s">
        <v>38</v>
      </c>
      <c r="J1967">
        <v>4</v>
      </c>
      <c r="K1967" s="4">
        <v>250</v>
      </c>
      <c r="L1967" s="4">
        <v>1000</v>
      </c>
    </row>
    <row r="1968" spans="2:12" ht="12.75">
      <c r="B1968" t="str">
        <f t="shared" si="89"/>
        <v>2929</v>
      </c>
      <c r="C1968" t="s">
        <v>27</v>
      </c>
      <c r="D1968">
        <v>420248</v>
      </c>
      <c r="E1968" t="s">
        <v>36</v>
      </c>
      <c r="F1968">
        <v>120007</v>
      </c>
      <c r="G1968" t="s">
        <v>25</v>
      </c>
      <c r="H1968">
        <v>12</v>
      </c>
      <c r="I1968" t="s">
        <v>38</v>
      </c>
      <c r="J1968">
        <v>1</v>
      </c>
      <c r="K1968" s="4">
        <v>2500</v>
      </c>
      <c r="L1968" s="4">
        <v>2500</v>
      </c>
    </row>
    <row r="1969" spans="2:12" ht="12.75">
      <c r="B1969" t="str">
        <f t="shared" si="89"/>
        <v>2929</v>
      </c>
      <c r="C1969" t="s">
        <v>27</v>
      </c>
      <c r="D1969">
        <v>420248</v>
      </c>
      <c r="E1969" t="s">
        <v>36</v>
      </c>
      <c r="F1969">
        <v>250012</v>
      </c>
      <c r="G1969" t="s">
        <v>119</v>
      </c>
      <c r="H1969">
        <v>25</v>
      </c>
      <c r="I1969" t="s">
        <v>120</v>
      </c>
      <c r="J1969">
        <v>3</v>
      </c>
      <c r="K1969" s="4">
        <v>420</v>
      </c>
      <c r="L1969" s="4">
        <v>1260</v>
      </c>
    </row>
    <row r="1970" spans="2:12" ht="12.75">
      <c r="B1970" t="str">
        <f t="shared" si="89"/>
        <v>2929</v>
      </c>
      <c r="C1970" t="s">
        <v>27</v>
      </c>
      <c r="D1970">
        <v>420249</v>
      </c>
      <c r="E1970" t="s">
        <v>39</v>
      </c>
      <c r="F1970">
        <v>290018</v>
      </c>
      <c r="G1970" t="s">
        <v>25</v>
      </c>
      <c r="H1970">
        <v>29</v>
      </c>
      <c r="I1970" t="s">
        <v>142</v>
      </c>
      <c r="J1970">
        <v>2</v>
      </c>
      <c r="K1970" s="4">
        <v>1000</v>
      </c>
      <c r="L1970" s="4">
        <v>2000</v>
      </c>
    </row>
    <row r="1971" spans="2:12" ht="12.75">
      <c r="B1971" t="str">
        <f t="shared" si="89"/>
        <v>2929</v>
      </c>
      <c r="C1971" t="s">
        <v>27</v>
      </c>
      <c r="D1971">
        <v>420703</v>
      </c>
      <c r="E1971" t="s">
        <v>51</v>
      </c>
      <c r="F1971">
        <v>310001</v>
      </c>
      <c r="G1971" t="s">
        <v>175</v>
      </c>
      <c r="H1971">
        <v>31</v>
      </c>
      <c r="I1971" t="s">
        <v>26</v>
      </c>
      <c r="J1971">
        <v>10</v>
      </c>
      <c r="K1971" s="4">
        <v>5280</v>
      </c>
      <c r="L1971" s="4">
        <v>52800</v>
      </c>
    </row>
    <row r="1972" spans="2:12" ht="12.75">
      <c r="B1972" t="str">
        <f t="shared" si="89"/>
        <v>2929</v>
      </c>
      <c r="C1972" t="s">
        <v>27</v>
      </c>
      <c r="D1972">
        <v>420704</v>
      </c>
      <c r="E1972" t="s">
        <v>24</v>
      </c>
      <c r="F1972">
        <v>310008</v>
      </c>
      <c r="G1972" t="s">
        <v>148</v>
      </c>
      <c r="H1972">
        <v>31</v>
      </c>
      <c r="I1972" t="s">
        <v>26</v>
      </c>
      <c r="J1972">
        <v>1</v>
      </c>
      <c r="K1972" s="4">
        <v>41800</v>
      </c>
      <c r="L1972" s="4">
        <v>41800</v>
      </c>
    </row>
    <row r="1973" spans="2:12" ht="12.75">
      <c r="B1973" t="str">
        <f t="shared" si="89"/>
        <v>2929</v>
      </c>
      <c r="C1973" t="s">
        <v>27</v>
      </c>
      <c r="D1973">
        <v>420704</v>
      </c>
      <c r="E1973" t="s">
        <v>24</v>
      </c>
      <c r="F1973">
        <v>310008</v>
      </c>
      <c r="G1973" t="s">
        <v>148</v>
      </c>
      <c r="H1973">
        <v>31</v>
      </c>
      <c r="I1973" t="s">
        <v>26</v>
      </c>
      <c r="J1973">
        <v>1</v>
      </c>
      <c r="K1973" s="4">
        <v>60000</v>
      </c>
      <c r="L1973" s="4">
        <v>60000</v>
      </c>
    </row>
    <row r="1974" spans="1:2" ht="12.75">
      <c r="A1974" t="s">
        <v>47</v>
      </c>
      <c r="B1974">
        <f>SUM(L1951:L1973)</f>
        <v>266308</v>
      </c>
    </row>
    <row r="1976" ht="12.75">
      <c r="A1976" t="str">
        <f>"3513 - Arhiv Republike Slovenije, verzija: 1"</f>
        <v>3513 - Arhiv Republike Slovenije, verzija: 1</v>
      </c>
    </row>
    <row r="1977" spans="2:13" ht="12.75">
      <c r="B1977" t="s">
        <v>3</v>
      </c>
      <c r="D1977" t="s">
        <v>4</v>
      </c>
      <c r="F1977" t="s">
        <v>5</v>
      </c>
      <c r="H1977" t="s">
        <v>6</v>
      </c>
      <c r="J1977" t="s">
        <v>7</v>
      </c>
      <c r="K1977" s="4" t="s">
        <v>8</v>
      </c>
      <c r="L1977" s="4" t="s">
        <v>9</v>
      </c>
      <c r="M1977" t="s">
        <v>10</v>
      </c>
    </row>
    <row r="1978" spans="2:12" ht="12.75">
      <c r="B1978" t="str">
        <f aca="true" t="shared" si="90" ref="B1978:B1984">"2935"</f>
        <v>2935</v>
      </c>
      <c r="C1978" t="s">
        <v>27</v>
      </c>
      <c r="D1978">
        <v>420202</v>
      </c>
      <c r="E1978" t="s">
        <v>19</v>
      </c>
      <c r="F1978">
        <v>10002</v>
      </c>
      <c r="G1978" t="s">
        <v>20</v>
      </c>
      <c r="H1978">
        <v>1</v>
      </c>
      <c r="I1978" t="s">
        <v>21</v>
      </c>
      <c r="J1978">
        <v>4</v>
      </c>
      <c r="K1978" s="4">
        <v>758</v>
      </c>
      <c r="L1978" s="4">
        <v>3032</v>
      </c>
    </row>
    <row r="1979" spans="2:12" ht="12.75">
      <c r="B1979" t="str">
        <f t="shared" si="90"/>
        <v>2935</v>
      </c>
      <c r="C1979" t="s">
        <v>27</v>
      </c>
      <c r="D1979">
        <v>420202</v>
      </c>
      <c r="E1979" t="s">
        <v>19</v>
      </c>
      <c r="F1979">
        <v>10003</v>
      </c>
      <c r="G1979" t="s">
        <v>28</v>
      </c>
      <c r="H1979">
        <v>1</v>
      </c>
      <c r="I1979" t="s">
        <v>21</v>
      </c>
      <c r="J1979">
        <v>1</v>
      </c>
      <c r="K1979" s="4">
        <v>1000</v>
      </c>
      <c r="L1979" s="4">
        <v>1000</v>
      </c>
    </row>
    <row r="1980" spans="2:12" ht="12.75">
      <c r="B1980" t="str">
        <f t="shared" si="90"/>
        <v>2935</v>
      </c>
      <c r="C1980" t="s">
        <v>27</v>
      </c>
      <c r="D1980">
        <v>420202</v>
      </c>
      <c r="E1980" t="s">
        <v>19</v>
      </c>
      <c r="F1980">
        <v>40002</v>
      </c>
      <c r="G1980" t="s">
        <v>22</v>
      </c>
      <c r="H1980">
        <v>4</v>
      </c>
      <c r="I1980" t="s">
        <v>23</v>
      </c>
      <c r="J1980">
        <v>7</v>
      </c>
      <c r="K1980" s="4">
        <v>343</v>
      </c>
      <c r="L1980" s="4">
        <v>2401</v>
      </c>
    </row>
    <row r="1981" spans="2:12" ht="12.75">
      <c r="B1981" t="str">
        <f t="shared" si="90"/>
        <v>2935</v>
      </c>
      <c r="C1981" t="s">
        <v>27</v>
      </c>
      <c r="D1981">
        <v>420202</v>
      </c>
      <c r="E1981" t="s">
        <v>19</v>
      </c>
      <c r="F1981">
        <v>60002</v>
      </c>
      <c r="G1981" t="s">
        <v>31</v>
      </c>
      <c r="H1981">
        <v>6</v>
      </c>
      <c r="I1981" t="s">
        <v>32</v>
      </c>
      <c r="J1981">
        <v>4</v>
      </c>
      <c r="K1981" s="4">
        <v>500</v>
      </c>
      <c r="L1981" s="4">
        <v>2000</v>
      </c>
    </row>
    <row r="1982" spans="2:12" ht="12.75">
      <c r="B1982" t="str">
        <f t="shared" si="90"/>
        <v>2935</v>
      </c>
      <c r="C1982" t="s">
        <v>27</v>
      </c>
      <c r="D1982">
        <v>420202</v>
      </c>
      <c r="E1982" t="s">
        <v>19</v>
      </c>
      <c r="F1982">
        <v>60004</v>
      </c>
      <c r="G1982" t="s">
        <v>33</v>
      </c>
      <c r="H1982">
        <v>6</v>
      </c>
      <c r="I1982" t="s">
        <v>32</v>
      </c>
      <c r="J1982">
        <v>1</v>
      </c>
      <c r="K1982" s="4">
        <v>500</v>
      </c>
      <c r="L1982" s="4">
        <v>500</v>
      </c>
    </row>
    <row r="1983" spans="2:12" ht="12.75">
      <c r="B1983" t="str">
        <f t="shared" si="90"/>
        <v>2935</v>
      </c>
      <c r="C1983" t="s">
        <v>27</v>
      </c>
      <c r="D1983">
        <v>420703</v>
      </c>
      <c r="E1983" t="s">
        <v>51</v>
      </c>
      <c r="F1983">
        <v>370001</v>
      </c>
      <c r="G1983" t="s">
        <v>133</v>
      </c>
      <c r="H1983">
        <v>37</v>
      </c>
      <c r="I1983" t="s">
        <v>134</v>
      </c>
      <c r="J1983">
        <v>1</v>
      </c>
      <c r="K1983" s="4">
        <v>2000</v>
      </c>
      <c r="L1983" s="4">
        <v>2000</v>
      </c>
    </row>
    <row r="1984" spans="2:12" ht="12.75">
      <c r="B1984" t="str">
        <f t="shared" si="90"/>
        <v>2935</v>
      </c>
      <c r="C1984" t="s">
        <v>27</v>
      </c>
      <c r="D1984">
        <v>420704</v>
      </c>
      <c r="E1984" t="s">
        <v>24</v>
      </c>
      <c r="F1984">
        <v>370001</v>
      </c>
      <c r="G1984" t="s">
        <v>133</v>
      </c>
      <c r="H1984">
        <v>37</v>
      </c>
      <c r="I1984" t="s">
        <v>134</v>
      </c>
      <c r="J1984">
        <v>1</v>
      </c>
      <c r="K1984" s="4">
        <v>8000</v>
      </c>
      <c r="L1984" s="4">
        <v>8000</v>
      </c>
    </row>
    <row r="1985" spans="2:12" ht="12.75">
      <c r="B1985" t="str">
        <f>"3362"</f>
        <v>3362</v>
      </c>
      <c r="C1985" t="s">
        <v>40</v>
      </c>
      <c r="D1985">
        <v>402007</v>
      </c>
      <c r="E1985" t="s">
        <v>41</v>
      </c>
      <c r="F1985">
        <v>430009</v>
      </c>
      <c r="G1985" t="s">
        <v>25</v>
      </c>
      <c r="H1985">
        <v>43</v>
      </c>
      <c r="I1985" t="s">
        <v>56</v>
      </c>
      <c r="J1985">
        <v>1</v>
      </c>
      <c r="K1985" s="4">
        <v>10913</v>
      </c>
      <c r="L1985" s="4">
        <v>10913</v>
      </c>
    </row>
    <row r="1986" spans="2:12" ht="12.75">
      <c r="B1986" t="str">
        <f>"3362"</f>
        <v>3362</v>
      </c>
      <c r="C1986" t="s">
        <v>40</v>
      </c>
      <c r="D1986">
        <v>402510</v>
      </c>
      <c r="E1986" t="s">
        <v>12</v>
      </c>
      <c r="F1986">
        <v>430001</v>
      </c>
      <c r="G1986" t="s">
        <v>224</v>
      </c>
      <c r="H1986">
        <v>43</v>
      </c>
      <c r="I1986" t="s">
        <v>56</v>
      </c>
      <c r="J1986">
        <v>1</v>
      </c>
      <c r="K1986" s="4">
        <v>1062</v>
      </c>
      <c r="L1986" s="4">
        <v>1062</v>
      </c>
    </row>
    <row r="1987" spans="2:12" ht="12.75">
      <c r="B1987" t="str">
        <f>"3362"</f>
        <v>3362</v>
      </c>
      <c r="C1987" t="s">
        <v>40</v>
      </c>
      <c r="D1987">
        <v>402514</v>
      </c>
      <c r="E1987" t="s">
        <v>45</v>
      </c>
      <c r="F1987">
        <v>310006</v>
      </c>
      <c r="G1987" t="s">
        <v>204</v>
      </c>
      <c r="H1987">
        <v>31</v>
      </c>
      <c r="I1987" t="s">
        <v>26</v>
      </c>
      <c r="J1987">
        <v>1</v>
      </c>
      <c r="K1987" s="4">
        <v>25692</v>
      </c>
      <c r="L1987" s="4">
        <v>25692</v>
      </c>
    </row>
    <row r="1988" spans="2:12" ht="12.75">
      <c r="B1988" t="str">
        <f>"3362"</f>
        <v>3362</v>
      </c>
      <c r="C1988" t="s">
        <v>40</v>
      </c>
      <c r="D1988">
        <v>402515</v>
      </c>
      <c r="E1988" t="s">
        <v>15</v>
      </c>
      <c r="F1988">
        <v>350005</v>
      </c>
      <c r="G1988" t="s">
        <v>96</v>
      </c>
      <c r="H1988">
        <v>35</v>
      </c>
      <c r="I1988" t="s">
        <v>17</v>
      </c>
      <c r="J1988">
        <v>1</v>
      </c>
      <c r="K1988" s="4">
        <v>11179</v>
      </c>
      <c r="L1988" s="4">
        <v>11179</v>
      </c>
    </row>
    <row r="1989" spans="2:12" ht="12.75">
      <c r="B1989" t="str">
        <f>"35"</f>
        <v>35</v>
      </c>
      <c r="C1989" t="s">
        <v>514</v>
      </c>
      <c r="D1989">
        <v>420202</v>
      </c>
      <c r="E1989" t="s">
        <v>19</v>
      </c>
      <c r="F1989">
        <v>10002</v>
      </c>
      <c r="G1989" t="s">
        <v>20</v>
      </c>
      <c r="H1989">
        <v>1</v>
      </c>
      <c r="I1989" t="s">
        <v>21</v>
      </c>
      <c r="J1989">
        <v>4</v>
      </c>
      <c r="K1989" s="4">
        <v>758</v>
      </c>
      <c r="L1989" s="4">
        <v>3032</v>
      </c>
    </row>
    <row r="1990" spans="2:12" ht="12.75">
      <c r="B1990" t="str">
        <f>"35"</f>
        <v>35</v>
      </c>
      <c r="C1990" t="s">
        <v>514</v>
      </c>
      <c r="D1990">
        <v>420202</v>
      </c>
      <c r="E1990" t="s">
        <v>19</v>
      </c>
      <c r="F1990">
        <v>40002</v>
      </c>
      <c r="G1990" t="s">
        <v>22</v>
      </c>
      <c r="H1990">
        <v>4</v>
      </c>
      <c r="I1990" t="s">
        <v>23</v>
      </c>
      <c r="J1990">
        <v>5</v>
      </c>
      <c r="K1990" s="4">
        <v>343</v>
      </c>
      <c r="L1990" s="4">
        <v>1715</v>
      </c>
    </row>
    <row r="1991" spans="2:13" ht="12.75">
      <c r="B1991" t="str">
        <f>"5927"</f>
        <v>5927</v>
      </c>
      <c r="C1991" t="s">
        <v>515</v>
      </c>
      <c r="D1991">
        <v>402007</v>
      </c>
      <c r="E1991" t="s">
        <v>41</v>
      </c>
      <c r="F1991">
        <v>430009</v>
      </c>
      <c r="G1991" t="s">
        <v>25</v>
      </c>
      <c r="H1991">
        <v>43</v>
      </c>
      <c r="I1991" t="s">
        <v>56</v>
      </c>
      <c r="J1991">
        <v>1</v>
      </c>
      <c r="K1991" s="4">
        <v>24351</v>
      </c>
      <c r="L1991" s="4">
        <v>24351</v>
      </c>
      <c r="M1991" t="s">
        <v>516</v>
      </c>
    </row>
    <row r="1992" spans="2:12" ht="12.75">
      <c r="B1992" t="str">
        <f>"7992"</f>
        <v>7992</v>
      </c>
      <c r="C1992" t="s">
        <v>517</v>
      </c>
      <c r="D1992">
        <v>420704</v>
      </c>
      <c r="E1992" t="s">
        <v>24</v>
      </c>
      <c r="F1992">
        <v>410004</v>
      </c>
      <c r="G1992" t="s">
        <v>265</v>
      </c>
      <c r="H1992">
        <v>41</v>
      </c>
      <c r="I1992" t="s">
        <v>14</v>
      </c>
      <c r="J1992">
        <v>1</v>
      </c>
      <c r="K1992" s="4">
        <v>90</v>
      </c>
      <c r="L1992" s="4">
        <v>90</v>
      </c>
    </row>
    <row r="1993" spans="2:12" ht="12.75">
      <c r="B1993" t="str">
        <f aca="true" t="shared" si="91" ref="B1993:B2004">"8712"</f>
        <v>8712</v>
      </c>
      <c r="C1993" t="s">
        <v>518</v>
      </c>
      <c r="D1993">
        <v>420202</v>
      </c>
      <c r="E1993" t="s">
        <v>19</v>
      </c>
      <c r="F1993">
        <v>10002</v>
      </c>
      <c r="G1993" t="s">
        <v>20</v>
      </c>
      <c r="H1993">
        <v>1</v>
      </c>
      <c r="I1993" t="s">
        <v>21</v>
      </c>
      <c r="J1993">
        <v>3</v>
      </c>
      <c r="K1993" s="4">
        <v>758</v>
      </c>
      <c r="L1993" s="4">
        <v>2274</v>
      </c>
    </row>
    <row r="1994" spans="2:12" ht="12.75">
      <c r="B1994" t="str">
        <f t="shared" si="91"/>
        <v>8712</v>
      </c>
      <c r="C1994" t="s">
        <v>518</v>
      </c>
      <c r="D1994">
        <v>420202</v>
      </c>
      <c r="E1994" t="s">
        <v>19</v>
      </c>
      <c r="F1994">
        <v>20002</v>
      </c>
      <c r="G1994" t="s">
        <v>58</v>
      </c>
      <c r="H1994">
        <v>2</v>
      </c>
      <c r="I1994" t="s">
        <v>30</v>
      </c>
      <c r="J1994">
        <v>3</v>
      </c>
      <c r="K1994" s="4">
        <v>1200</v>
      </c>
      <c r="L1994" s="4">
        <v>3600</v>
      </c>
    </row>
    <row r="1995" spans="2:12" ht="12.75">
      <c r="B1995" t="str">
        <f t="shared" si="91"/>
        <v>8712</v>
      </c>
      <c r="C1995" t="s">
        <v>518</v>
      </c>
      <c r="D1995">
        <v>420202</v>
      </c>
      <c r="E1995" t="s">
        <v>19</v>
      </c>
      <c r="F1995">
        <v>40002</v>
      </c>
      <c r="G1995" t="s">
        <v>22</v>
      </c>
      <c r="H1995">
        <v>4</v>
      </c>
      <c r="I1995" t="s">
        <v>23</v>
      </c>
      <c r="J1995">
        <v>2</v>
      </c>
      <c r="K1995" s="4">
        <v>343</v>
      </c>
      <c r="L1995" s="4">
        <v>686</v>
      </c>
    </row>
    <row r="1996" spans="2:12" ht="12.75">
      <c r="B1996" t="str">
        <f t="shared" si="91"/>
        <v>8712</v>
      </c>
      <c r="C1996" t="s">
        <v>518</v>
      </c>
      <c r="D1996">
        <v>420202</v>
      </c>
      <c r="E1996" t="s">
        <v>19</v>
      </c>
      <c r="F1996">
        <v>40002</v>
      </c>
      <c r="G1996" t="s">
        <v>22</v>
      </c>
      <c r="H1996">
        <v>4</v>
      </c>
      <c r="I1996" t="s">
        <v>23</v>
      </c>
      <c r="J1996">
        <v>5</v>
      </c>
      <c r="K1996" s="4">
        <v>343</v>
      </c>
      <c r="L1996" s="4">
        <v>1715</v>
      </c>
    </row>
    <row r="1997" spans="2:12" ht="12.75">
      <c r="B1997" t="str">
        <f t="shared" si="91"/>
        <v>8712</v>
      </c>
      <c r="C1997" t="s">
        <v>518</v>
      </c>
      <c r="D1997">
        <v>420806</v>
      </c>
      <c r="E1997" t="s">
        <v>122</v>
      </c>
      <c r="F1997">
        <v>360001</v>
      </c>
      <c r="G1997" t="s">
        <v>263</v>
      </c>
      <c r="H1997">
        <v>36</v>
      </c>
      <c r="I1997" t="s">
        <v>124</v>
      </c>
      <c r="J1997">
        <v>1</v>
      </c>
      <c r="K1997" s="4">
        <v>2000</v>
      </c>
      <c r="L1997" s="4">
        <v>2000</v>
      </c>
    </row>
    <row r="1998" spans="2:12" ht="12.75">
      <c r="B1998" t="str">
        <f t="shared" si="91"/>
        <v>8712</v>
      </c>
      <c r="C1998" t="s">
        <v>518</v>
      </c>
      <c r="D1998">
        <v>420806</v>
      </c>
      <c r="E1998" t="s">
        <v>122</v>
      </c>
      <c r="F1998">
        <v>360003</v>
      </c>
      <c r="G1998" t="s">
        <v>519</v>
      </c>
      <c r="H1998">
        <v>36</v>
      </c>
      <c r="I1998" t="s">
        <v>124</v>
      </c>
      <c r="J1998">
        <v>1</v>
      </c>
      <c r="K1998" s="4">
        <v>5000</v>
      </c>
      <c r="L1998" s="4">
        <v>5000</v>
      </c>
    </row>
    <row r="1999" spans="2:12" ht="12.75">
      <c r="B1999" t="str">
        <f t="shared" si="91"/>
        <v>8712</v>
      </c>
      <c r="C1999" t="s">
        <v>518</v>
      </c>
      <c r="D1999">
        <v>420806</v>
      </c>
      <c r="E1999" t="s">
        <v>122</v>
      </c>
      <c r="F1999">
        <v>360004</v>
      </c>
      <c r="G1999" t="s">
        <v>123</v>
      </c>
      <c r="H1999">
        <v>36</v>
      </c>
      <c r="I1999" t="s">
        <v>124</v>
      </c>
      <c r="J1999">
        <v>1</v>
      </c>
      <c r="K1999" s="4">
        <v>10000</v>
      </c>
      <c r="L1999" s="4">
        <v>10000</v>
      </c>
    </row>
    <row r="2000" spans="2:12" ht="12.75">
      <c r="B2000" t="str">
        <f t="shared" si="91"/>
        <v>8712</v>
      </c>
      <c r="C2000" t="s">
        <v>518</v>
      </c>
      <c r="D2000">
        <v>420806</v>
      </c>
      <c r="E2000" t="s">
        <v>122</v>
      </c>
      <c r="F2000">
        <v>360006</v>
      </c>
      <c r="G2000" t="s">
        <v>151</v>
      </c>
      <c r="H2000">
        <v>36</v>
      </c>
      <c r="I2000" t="s">
        <v>124</v>
      </c>
      <c r="J2000">
        <v>1</v>
      </c>
      <c r="K2000" s="4">
        <v>8000</v>
      </c>
      <c r="L2000" s="4">
        <v>8000</v>
      </c>
    </row>
    <row r="2001" spans="2:12" ht="12.75">
      <c r="B2001" t="str">
        <f t="shared" si="91"/>
        <v>8712</v>
      </c>
      <c r="C2001" t="s">
        <v>518</v>
      </c>
      <c r="D2001">
        <v>420806</v>
      </c>
      <c r="E2001" t="s">
        <v>122</v>
      </c>
      <c r="F2001">
        <v>360008</v>
      </c>
      <c r="G2001" t="s">
        <v>183</v>
      </c>
      <c r="H2001">
        <v>36</v>
      </c>
      <c r="I2001" t="s">
        <v>124</v>
      </c>
      <c r="J2001">
        <v>1</v>
      </c>
      <c r="K2001" s="4">
        <v>8000</v>
      </c>
      <c r="L2001" s="4">
        <v>8000</v>
      </c>
    </row>
    <row r="2002" spans="2:12" ht="12.75">
      <c r="B2002" t="str">
        <f t="shared" si="91"/>
        <v>8712</v>
      </c>
      <c r="C2002" t="s">
        <v>518</v>
      </c>
      <c r="D2002">
        <v>420806</v>
      </c>
      <c r="E2002" t="s">
        <v>122</v>
      </c>
      <c r="F2002">
        <v>360011</v>
      </c>
      <c r="G2002" t="s">
        <v>520</v>
      </c>
      <c r="H2002">
        <v>36</v>
      </c>
      <c r="I2002" t="s">
        <v>124</v>
      </c>
      <c r="J2002">
        <v>1</v>
      </c>
      <c r="K2002" s="4">
        <v>5000</v>
      </c>
      <c r="L2002" s="4">
        <v>5000</v>
      </c>
    </row>
    <row r="2003" spans="2:12" ht="12.75">
      <c r="B2003" t="str">
        <f t="shared" si="91"/>
        <v>8712</v>
      </c>
      <c r="C2003" t="s">
        <v>518</v>
      </c>
      <c r="D2003">
        <v>420806</v>
      </c>
      <c r="E2003" t="s">
        <v>122</v>
      </c>
      <c r="F2003">
        <v>360012</v>
      </c>
      <c r="G2003" t="s">
        <v>231</v>
      </c>
      <c r="H2003">
        <v>36</v>
      </c>
      <c r="I2003" t="s">
        <v>124</v>
      </c>
      <c r="J2003">
        <v>1</v>
      </c>
      <c r="K2003" s="4">
        <v>8000</v>
      </c>
      <c r="L2003" s="4">
        <v>8000</v>
      </c>
    </row>
    <row r="2004" spans="2:12" ht="12.75">
      <c r="B2004" t="str">
        <f t="shared" si="91"/>
        <v>8712</v>
      </c>
      <c r="C2004" t="s">
        <v>518</v>
      </c>
      <c r="D2004">
        <v>420806</v>
      </c>
      <c r="E2004" t="s">
        <v>122</v>
      </c>
      <c r="F2004">
        <v>360013</v>
      </c>
      <c r="G2004" t="s">
        <v>363</v>
      </c>
      <c r="H2004">
        <v>36</v>
      </c>
      <c r="I2004" t="s">
        <v>124</v>
      </c>
      <c r="J2004">
        <v>1</v>
      </c>
      <c r="K2004" s="4">
        <v>4000</v>
      </c>
      <c r="L2004" s="4">
        <v>4000</v>
      </c>
    </row>
    <row r="2005" spans="1:2" ht="12.75">
      <c r="A2005" t="s">
        <v>47</v>
      </c>
      <c r="B2005">
        <f>SUM(L1978:L2004)</f>
        <v>155242</v>
      </c>
    </row>
    <row r="2007" spans="11:12" ht="12.75">
      <c r="K2007" s="4" t="s">
        <v>521</v>
      </c>
      <c r="L2007" s="4">
        <f>SUM(L7:L2006)</f>
        <v>120780941.71000007</v>
      </c>
    </row>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dcterms:created xsi:type="dcterms:W3CDTF">2009-12-18T10:10:14Z</dcterms:created>
  <dcterms:modified xsi:type="dcterms:W3CDTF">2009-12-18T10:12:36Z</dcterms:modified>
  <cp:category/>
  <cp:version/>
  <cp:contentType/>
  <cp:contentStatus/>
</cp:coreProperties>
</file>